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755" windowWidth="15450" windowHeight="8820" activeTab="0"/>
  </bookViews>
  <sheets>
    <sheet name=" РР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<sst xmlns="http://schemas.openxmlformats.org/spreadsheetml/2006/main" count="1042" uniqueCount="686">
  <si>
    <t>1.</t>
  </si>
  <si>
    <t>001</t>
  </si>
  <si>
    <t>01</t>
  </si>
  <si>
    <t>06</t>
  </si>
  <si>
    <t>03</t>
  </si>
  <si>
    <t>04</t>
  </si>
  <si>
    <t>05</t>
  </si>
  <si>
    <t>02</t>
  </si>
  <si>
    <t>09</t>
  </si>
  <si>
    <t>Отдел культуры</t>
  </si>
  <si>
    <t>07</t>
  </si>
  <si>
    <t>08</t>
  </si>
  <si>
    <t>Районный отдел образования</t>
  </si>
  <si>
    <t>Резервные фонды местных администраций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</si>
  <si>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</si>
  <si>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Капитальный ремонт муниципального жилищного фонда</t>
  </si>
  <si>
    <t>Администрация Шарангского района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</si>
  <si>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</si>
  <si>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057</t>
  </si>
  <si>
    <t>074</t>
  </si>
  <si>
    <t>082</t>
  </si>
  <si>
    <t>11</t>
  </si>
  <si>
    <t>Мероприятия по землеустройству и землепользованию</t>
  </si>
  <si>
    <t>Субсидии отдельным общественным организациям и иным некоммерческим объединениям</t>
  </si>
  <si>
    <t>2013 год</t>
  </si>
  <si>
    <t>Обеспечение мероприятий по капитальному ремонту многоквартирных домов</t>
  </si>
  <si>
    <t>Иные межбюджетные трансферты</t>
  </si>
  <si>
    <t>Расходы на выплаты персоналу казенных учреждений</t>
  </si>
  <si>
    <t>Субвенция на 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</t>
  </si>
  <si>
    <t>0020401</t>
  </si>
  <si>
    <t>0900200</t>
  </si>
  <si>
    <t>2014 год</t>
  </si>
  <si>
    <t>0700500</t>
  </si>
  <si>
    <t>240</t>
  </si>
  <si>
    <t>610</t>
  </si>
  <si>
    <t>410</t>
  </si>
  <si>
    <t>Иные закупки товаров, работ и услуг для муниципальных нужд</t>
  </si>
  <si>
    <t>880</t>
  </si>
  <si>
    <t>Ежемесячное денежное вознаграждение за классное руководство</t>
  </si>
  <si>
    <t>13</t>
  </si>
  <si>
    <t>120</t>
  </si>
  <si>
    <t>10</t>
  </si>
  <si>
    <t>12</t>
  </si>
  <si>
    <t>Мероприятия в области строительства, архитектуры и градостроительства</t>
  </si>
  <si>
    <t>1020102</t>
  </si>
  <si>
    <t>810</t>
  </si>
  <si>
    <t>Государственная поддержка в сфере средств массовой информации</t>
  </si>
  <si>
    <t>2015 год</t>
  </si>
  <si>
    <t>540</t>
  </si>
  <si>
    <t>Прочие выплаты по обязательствам государства</t>
  </si>
  <si>
    <t>Субвенции</t>
  </si>
  <si>
    <t>3510300</t>
  </si>
  <si>
    <t xml:space="preserve">Мероприятия в рамках разрабатываемой муниципальной программы "Кадры " </t>
  </si>
  <si>
    <t>5055134</t>
  </si>
  <si>
    <t>Социальные выплаты гражданам, кроме публичных нормативных социальных выплат</t>
  </si>
  <si>
    <t>0014000</t>
  </si>
  <si>
    <t>Обеспечение жильем отдельных категорий граждан, установленных Федеральными законами от 12 января 1995 года N 5-ФЗ «О ветеранах», в соответствии с Указом Президента Российской Федерации от 7 мая 2008 года N 714 «Об обеспечении жильем ветеранов Великой Отечественной войны 1941-1945 годов»</t>
  </si>
  <si>
    <t>тыс.рублей</t>
  </si>
  <si>
    <t>№</t>
  </si>
  <si>
    <t>Содержание расходного обязательства</t>
  </si>
  <si>
    <t>Наименование муниципальной услуги (работы)</t>
  </si>
  <si>
    <t>Код муниципальной услуги (работы)</t>
  </si>
  <si>
    <t>Коды классификации 
расходов бюджетов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</si>
  <si>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</si>
  <si>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Дата вступления в силу норматив-ного правового акта, договора, соглашения</t>
  </si>
  <si>
    <t>Дата окончания действия норматив-ного правового акта, договора, соглашения</t>
  </si>
  <si>
    <t>РЗ</t>
  </si>
  <si>
    <t>ПР</t>
  </si>
  <si>
    <t>ЦС</t>
  </si>
  <si>
    <t>ВР</t>
  </si>
  <si>
    <t>Всего</t>
  </si>
  <si>
    <t>БДО</t>
  </si>
  <si>
    <t>БПО</t>
  </si>
  <si>
    <t>1</t>
  </si>
  <si>
    <t>5</t>
  </si>
  <si>
    <t>6</t>
  </si>
  <si>
    <t>7</t>
  </si>
  <si>
    <t>8</t>
  </si>
  <si>
    <t>9</t>
  </si>
  <si>
    <t>ИТОГО по субъектам бюджетного планирования</t>
  </si>
  <si>
    <t>Управление финансов</t>
  </si>
  <si>
    <t>А</t>
  </si>
  <si>
    <t>Расходные обязательства по оказанию муниципальных услуг</t>
  </si>
  <si>
    <t>1. Расходные обязательства по содержанию органа местного самоуправления</t>
  </si>
  <si>
    <t>1.1.</t>
  </si>
  <si>
    <t xml:space="preserve">Расходы на выплаты
персоналу   органа
местного самоуправления            
</t>
  </si>
  <si>
    <t>х</t>
  </si>
  <si>
    <t>01      01</t>
  </si>
  <si>
    <t>06     06</t>
  </si>
  <si>
    <t>120   120</t>
  </si>
  <si>
    <t>1.2.</t>
  </si>
  <si>
    <t xml:space="preserve">Закупка   товаров,
работ,   услуг   в
целях   содержания
органа            
местного самоуправления            
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</si>
  <si>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</si>
  <si>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1) не установлена</t>
  </si>
  <si>
    <t xml:space="preserve">Иные расходы      </t>
  </si>
  <si>
    <t>01 01</t>
  </si>
  <si>
    <t>06   06</t>
  </si>
  <si>
    <t>0020401          0020401</t>
  </si>
  <si>
    <t>852     880</t>
  </si>
  <si>
    <t>1) Налоговый кодекс Российской Федерации, от 05.08.00 № 117-ФЗ 2) 12.01.2002г.
2) Федеральный закон от 10.01.02 № 7-ФЗ "Об охране окружающей среды", статья 16, подпункты 1, 3;
3) Постановление Правительства Российской Федерации от 28.08.92 № 632 "Об утверждении Порядка определения платы и ее предельных размеров за загрязнение окружающей природной среды, размещение отходов, другие виды вредного воздействия", (полностью);
4) Постановление Правительства Российской Федерации от 12.06.03 № 344 "О нормативах платы за выбросы в атмосферный воздух загрязняющих средств стационарными и передвижными источниками, сбросы загрязняющих веществ в поверхностные и подземные водные объекты, размещение отходов производства и потребления" (полностью)</t>
  </si>
  <si>
    <t>1) 01.01.2001 2) 12.01.2002г  3)  01.01.1993г  4) 23.06.2003г</t>
  </si>
  <si>
    <t>1) не установлена 2 не установлена    3) не установлена     4) не установлена</t>
  </si>
  <si>
    <t>З.</t>
  </si>
  <si>
    <t>Резервный фонд Администрации Шарангского района</t>
  </si>
  <si>
    <t>870</t>
  </si>
  <si>
    <t>Постановление Администрации Шарангского района от 05.04.2010г. №34 "Об утверждении порядка использования бюджетных ассигнований резервного фонда Администрации Шарангского района"</t>
  </si>
  <si>
    <t xml:space="preserve">01.01.2010г. </t>
  </si>
  <si>
    <t>не установлена</t>
  </si>
  <si>
    <t>1) Федеральный закон от 06.10.2003 № 131-ФЗ "Об общих принципах организации местного самоуправления Российской Федерации"  п.3.ст.15;</t>
  </si>
  <si>
    <t>1.3.</t>
  </si>
  <si>
    <t>1.4.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</si>
  <si>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</si>
  <si>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500</t>
  </si>
  <si>
    <t>1.5.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</si>
  <si>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18.11.2010гг. №125 Об утверждении целевой программы "Семья на 2011-2013гг."</t>
  </si>
  <si>
    <t>1)не установлена 2) 31.12.2013г</t>
  </si>
  <si>
    <t>1.6.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</si>
  <si>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31.07.2006г.гг. № 32 "Об утверждении районной межотраслевой программы "Ветераны боевых действий" на 2011-2014гг"</t>
  </si>
  <si>
    <t>1)не установлена 2) 31.12.2014г</t>
  </si>
  <si>
    <t>1.7.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</si>
  <si>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24.12.2009г.гг. № 69 "Об утверждении районной целевой программы "Старшее поколение" на 2010-2013гг"</t>
  </si>
  <si>
    <t>1)не установлена 2) 31.12.2013г.</t>
  </si>
  <si>
    <t>1.8.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</si>
  <si>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24.12.2009г.гг. № 70 "Об утверждении районной целевой программы "Социальнная поддержка инвалидов в Шарангском районе" на 2010-2013гг"</t>
  </si>
  <si>
    <t>Б</t>
  </si>
  <si>
    <t>Расходные обязательства по социальному обеспечению населения</t>
  </si>
  <si>
    <t>2.</t>
  </si>
  <si>
    <t>320</t>
  </si>
  <si>
    <t xml:space="preserve">1) Федеральный закон от 06.10.2003 № 131-ФЗ "Об общих принципах организации местного самоуправления в Российской Федерации" </t>
  </si>
  <si>
    <t xml:space="preserve">1) 01.01.2009  </t>
  </si>
  <si>
    <t xml:space="preserve">1)не установлена </t>
  </si>
  <si>
    <t>1.9.</t>
  </si>
  <si>
    <t>1.10.</t>
  </si>
  <si>
    <t>Решение ЗС Шарангского района № 98 от 14.11.2011г. "Об утверждении районной целевой программы "Ипотечное жилищное кредитование населения Шарангского района НО" на 2012-2020гг.</t>
  </si>
  <si>
    <t>01.01.2012г</t>
  </si>
  <si>
    <t>31.12.2020г</t>
  </si>
  <si>
    <t>Расходы за счет средств фонда на поддержку территорий</t>
  </si>
  <si>
    <t>1) Федеральный закон от 06.10.2003 № 131-ФЗ "Об общих принципах организации местного самоуправления в Российской Федерации"</t>
  </si>
  <si>
    <t xml:space="preserve">1) не установлена  2)не установлена  </t>
  </si>
  <si>
    <t>Д</t>
  </si>
  <si>
    <t>Расходные обязательства по предоставлению межбюджетных трансфертов</t>
  </si>
  <si>
    <t>Дотации</t>
  </si>
  <si>
    <t>1.1</t>
  </si>
  <si>
    <t>Дотации на выравнивание бюджетной обеспеченности поселений</t>
  </si>
  <si>
    <t>14</t>
  </si>
  <si>
    <t>1) не установлена
2) 31.12.08г  3) не установлена</t>
  </si>
  <si>
    <t>017</t>
  </si>
  <si>
    <t xml:space="preserve">1) Федеральный закон от 06.10.2003 № 131-ФЗ "Об общих принципах организации местного самоуправления в Российской Федерации" 2)Постановление Администрации Шарангского района №34 от 05.04.2010г. "Об утверждении порядка использования бюджетных ассигнований резервного  фонда администрации Шарангского района
</t>
  </si>
  <si>
    <t>1) 01.01.2009г
2) 01.01.2010г.</t>
  </si>
  <si>
    <t>3.5.</t>
  </si>
  <si>
    <t>1) не установлена 2) 31.12.2012г.</t>
  </si>
  <si>
    <t>1) 22.04.2006г 2) 01.01.2012г.</t>
  </si>
  <si>
    <t>3.6.</t>
  </si>
  <si>
    <t xml:space="preserve">  01.01.09г  
</t>
  </si>
  <si>
    <t xml:space="preserve"> не установлена
</t>
  </si>
  <si>
    <t>1) 01.01.2010г 2) 01.01.2012г  3) 01.01.2009г</t>
  </si>
  <si>
    <t>1) 31.12.2011г 2) 31.12.2012г 3) не установлена</t>
  </si>
  <si>
    <t>Иные межбюджетные трансферты на обеспечение земельных участков под  малоэтажное жилищное строительство инженерной и дорожной  инфраструктурой в рамках реализации  ОЦП «Стимулирование малоэтажного жилищного строительства в Нижегородской области на 2011-2013 годы»</t>
  </si>
  <si>
    <t>01.01.2011г</t>
  </si>
  <si>
    <t>01.01.2008г</t>
  </si>
  <si>
    <t>Иные межбюджетные трансферты  на поддержка мер по обеспечению сбалансированности бюджетов</t>
  </si>
  <si>
    <t>1) не установлена
2) 31.12.09  3) не установлена</t>
  </si>
  <si>
    <t xml:space="preserve">08    </t>
  </si>
  <si>
    <t xml:space="preserve">04   </t>
  </si>
  <si>
    <t xml:space="preserve">120   </t>
  </si>
  <si>
    <t xml:space="preserve">244              </t>
  </si>
  <si>
    <t>1)      01.01.2009г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</si>
  <si>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</si>
  <si>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>2.1.</t>
  </si>
  <si>
    <t>08   08   11   11</t>
  </si>
  <si>
    <t>04   04     02   02</t>
  </si>
  <si>
    <t>110          110           110    110</t>
  </si>
  <si>
    <t>1)  не установлена
2) не установлена
3)  31.12.2015 4) не установлеан  
5) не установлена</t>
  </si>
  <si>
    <t>Закупка товаров, работ, услуг в целях содержания казенных учреждений</t>
  </si>
  <si>
    <t xml:space="preserve">1) Федеральный закон от 06.10.2003 № 131-ФЗ "Об общих принципах организации местного самоуправления в Российской Федерации" 2) Федеральный закон от 04.12.2007 № 329-ФЗ "О физической культуре и спорте в Российской Федерации" 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годы"4)   Закон НО №76-З от 11.06.2009г. "О физической культуре и спорте в НО" </t>
  </si>
  <si>
    <t xml:space="preserve">1)  не установлена
2) не установлеан
3)  31.12.2015 4) не установлеан  
</t>
  </si>
  <si>
    <t>Иные расходы</t>
  </si>
  <si>
    <t>4. Расходные обязательства по предоставлению субсидий бюджетным учреждениям, а также некоммерческим организациям (за исключением государственных учреждений) на оказание данными организациями государственных услуг (выполнение работ)</t>
  </si>
  <si>
    <t>4.1. Предоставление субсидий бюджетным учреждениям</t>
  </si>
  <si>
    <t>4.1.1.</t>
  </si>
  <si>
    <t xml:space="preserve">Субсидии  на финансовое обеспечение муниципального задания на оказание муниципальных услуг (выполнение работ) МБОУ ДОД Шарангская детская школа искусств
</t>
  </si>
  <si>
    <t>Услуги по предоставлению дополнительного образования детей в учреждениях образования</t>
  </si>
  <si>
    <t>4.1.2</t>
  </si>
  <si>
    <t xml:space="preserve">Субсидии  на финансовое обеспечение муниципального задания на оказание муниципальных услуг (выполнение работ) МБУК "Шарангский Дом  культуры и МБУК "Шарангская централизованная клубная система"
</t>
  </si>
  <si>
    <t>4.1.4</t>
  </si>
  <si>
    <t xml:space="preserve">Субсидии  на финансовое обеспечение муниципального задания на оказание муниципальных услуг (выполнение работ) МБУК "Межпоселенческая централизованная библиотечная система" Шарангского района
</t>
  </si>
  <si>
    <t>услуги по организации библиотечного обслуживания населения межпоселенческими библиотеками, комплектования и обеспечения сохранности их библиотечных фондов</t>
  </si>
  <si>
    <t>4.1.5</t>
  </si>
  <si>
    <t xml:space="preserve">Субсидии  на финансовое обеспечение муниципального задания на оказание муниципальных услуг (выполнение работ) МБУК Шарангский народный краеведческий музей
</t>
  </si>
  <si>
    <t xml:space="preserve">08          08       08             08                  10           </t>
  </si>
  <si>
    <t>01         01            01          01              03</t>
  </si>
  <si>
    <t xml:space="preserve">610        610              610      610             500           </t>
  </si>
  <si>
    <t>4.2</t>
  </si>
  <si>
    <t>Субсидии бюджетным учреждениям на иные цели</t>
  </si>
  <si>
    <t>Расходные обязательства по оказанию государственных услуг</t>
  </si>
  <si>
    <t>1. Расходные обязательства по содержанию центрального аппарата и территориальных органов</t>
  </si>
  <si>
    <t xml:space="preserve"> Федеральный закон от 06.10.2003 № 131-ФЗ "Об общих принципах организации местного самоуправления в Российской Федерации"
</t>
  </si>
  <si>
    <t xml:space="preserve"> не установлена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</si>
  <si>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(выполнению работ)</t>
  </si>
  <si>
    <t>Расходы на выплаты
персоналу   казенных учреждений</t>
  </si>
  <si>
    <t>07  07</t>
  </si>
  <si>
    <t xml:space="preserve">09     09    </t>
  </si>
  <si>
    <t xml:space="preserve">110          110                  </t>
  </si>
  <si>
    <t>2.2.</t>
  </si>
  <si>
    <t>3.</t>
  </si>
  <si>
    <t xml:space="preserve">Расходные обязательства на закупку товаров, работ, услуг для муниципальных нужд (за исключением бюджетных ассигнований для  обеспечения  выполнения  функций  казенного  учреждения  и бюджетных ассигнований на осуществление бюджетных инвестиций в объекты муниципальной собственности казенных учреждений)                                                                  
</t>
  </si>
  <si>
    <t>3.1</t>
  </si>
  <si>
    <t xml:space="preserve">Субсидии  на финансовое обеспечение муниципального задания на оказание муниципальных услуг (выполнение работ) МБДОУ 
</t>
  </si>
  <si>
    <t>Услуги по предоставлению образования в дошкольных учреждениях</t>
  </si>
  <si>
    <t>4.1.2.</t>
  </si>
  <si>
    <t xml:space="preserve">Субсидии  на финансовое обеспечение муниципального задания на оказание муниципальных услуг (выполнение работ) МБОУ 
</t>
  </si>
  <si>
    <t>2.Услуги по предоставлению начального общего, основного общего и среднего(полного) образования</t>
  </si>
  <si>
    <t>4.1.3.</t>
  </si>
  <si>
    <t xml:space="preserve">Субсидии  на финансовое обеспечение муниципального задания на оказание муниципальных услуг (выполнение работ) МБОУ  ДОД
</t>
  </si>
  <si>
    <t>3. Услуги по предоставлению дополнительного образования детей в учреждениях образования</t>
  </si>
  <si>
    <t>4.1.4.</t>
  </si>
  <si>
    <t>4. Услуги по организации отдыха детей в каникулярное время</t>
  </si>
  <si>
    <t xml:space="preserve">1) Приказ управления финансовот 30.12.2010г.№45 "Об утверждении метод.рекомендаций по формированию муниципальных заданий муниципальным учреждениям Шарангского муниц.района и контролю за их выполнением" 2) Приказ управления финансовот 30.12.2010г.№46 "Об утверждении метод.рекомендаций по расчету нормативных затрат на оказание муниципальным учреждениям Шарангского муниц.района муниципальных услуг и нормативных затрат на содержание имущества мун.учреждений Шарангского муниц.района" 3) Постановление Правительства НО от 25.03.2009г. №149 "Об организации отдыха, оздоровления и занятости детей и молодежи Нижегородской области на 2011 - 2013 годы.
</t>
  </si>
  <si>
    <t>1) 01.01.2012г 2) 01.01.2012г  3) 01.01.2011г</t>
  </si>
  <si>
    <t xml:space="preserve">1) не установлена 2) не установлена  
3) 31.12.2013г
</t>
  </si>
  <si>
    <t>07      07</t>
  </si>
  <si>
    <t>4.3</t>
  </si>
  <si>
    <t>Управление сельского хозяйства</t>
  </si>
  <si>
    <t>Г</t>
  </si>
  <si>
    <t>Расходные обязательства по предоставлению субсидий юридическим лицам(кроме муниципальных учредений) индивидуальным предпринимателям, физическим лицам - производителям товаров, работ, услуг</t>
  </si>
  <si>
    <t>Мероприятия в области сельскохозяйственного производства</t>
  </si>
  <si>
    <t>330</t>
  </si>
  <si>
    <t>Земское собрание Шарангского района</t>
  </si>
  <si>
    <t>244</t>
  </si>
  <si>
    <t>01 01            05</t>
  </si>
  <si>
    <t>03         03               03</t>
  </si>
  <si>
    <t>487</t>
  </si>
  <si>
    <t>1) не установлена 2) не установлена</t>
  </si>
  <si>
    <t xml:space="preserve">01  01            01          </t>
  </si>
  <si>
    <t xml:space="preserve">04   04                    13              </t>
  </si>
  <si>
    <t>852     880                  880</t>
  </si>
  <si>
    <t>4. Расходные обязательства по предоставлению субсидий бюджетным  учреждениям, а также некоммерческим организациям (за исключением муниципальных учреждений) на оказание данными организациями муниципальных услуг (выполнение работ)</t>
  </si>
  <si>
    <t>4.2. Предоставление субсидий некоммерческим организациям (за исключением муниципальных учреждений)</t>
  </si>
  <si>
    <t>4.2.1.</t>
  </si>
  <si>
    <t>630</t>
  </si>
  <si>
    <t>Расходные обязательства по предоставлению субсидий юридическим лицам (кроме государственных учреждений), индивидульным предпринимателям, физическим лицам - производителям товаров, работ, услуг</t>
  </si>
  <si>
    <t>Субсидия  МУП Шарангское телевидение "Истоки"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</si>
  <si>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информации"3)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          4) Постановление Администрации Шарангского района  от 01.11.2008г. №93 "Об оплате труда работников муниципальных средств массовой информации"</t>
  </si>
  <si>
    <t xml:space="preserve">1)  не установлена
2)   не установлена 3)  не установлена                               4)   не установлена  </t>
  </si>
  <si>
    <t>Субсидия  МУП Редакция газеты "Знамя победы"</t>
  </si>
  <si>
    <r>
  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информации"3) Постановление Правительства Нижегородской области от 19.05.2006 № 176 "О порядке оказания финансовой поддержки средствам массовой информац</t>
    </r>
    <r>
      <rPr>
        <b/>
        <sz val="9"/>
        <rFont val="Times New Roman"/>
        <family val="1"/>
      </rPr>
      <t xml:space="preserve">ии </t>
    </r>
    <r>
      <rPr>
        <sz val="9"/>
        <rFont val="Times New Roman"/>
        <family val="1"/>
      </rPr>
      <t xml:space="preserve">Нижегородской области"   </t>
    </r>
    <r>
      <rPr>
        <b/>
        <sz val="9"/>
        <rFont val="Times New Roman"/>
        <family val="1"/>
      </rPr>
      <t xml:space="preserve">       </t>
    </r>
  </si>
  <si>
    <t>РЦП "Пожарная безопасность объектов и населенных пунктов Шарангского района на 2011-2014 годы"</t>
  </si>
  <si>
    <t>Постановение Администрации Шарангского района № 132 от 01.12.2010г. "Об утверждении целевой программы "Пожарная безопасность объектов и населенных пунктов Шарангского муниципального района"</t>
  </si>
  <si>
    <t>01.01.2011г.</t>
  </si>
  <si>
    <t>31.12.2014г</t>
  </si>
  <si>
    <t xml:space="preserve">04     </t>
  </si>
  <si>
    <t xml:space="preserve">12          </t>
  </si>
  <si>
    <t xml:space="preserve">244                 </t>
  </si>
  <si>
    <t>Мероприятия в области коммунального хозяйства</t>
  </si>
  <si>
    <t>31.12.2013г</t>
  </si>
  <si>
    <t xml:space="preserve">1)не установлена  2)не установлена 
</t>
  </si>
  <si>
    <t>003</t>
  </si>
  <si>
    <t>Постановление Администрации Шарангского района от 18.11.09.2010г.№126 "Об утверждении РЦП "Кадры" на 2011 - 2015 годы</t>
  </si>
  <si>
    <t>31.12.2015г</t>
  </si>
  <si>
    <t>Постановление Администрации Шарангского района №116 от 08.11.2010г."Об утверждении КРЦП "Профилактика безнадзорности и правонарушений несовершеннолетних в Шарангском районе на 2011-2013г"</t>
  </si>
  <si>
    <t xml:space="preserve">Таблица 1.РЕЕСТР РАСХОДНЫХ ОБЯЗАТЕЛЬСТВ РАЙООНОГО БЮДЖЕТА ШАРАНГСКОГО РАЙОНА  НА 2012-2014 ГОДЫ ПО РАСХОДНЫМ ОБЯЗАТЕЛЬСТВАМ, ИСПОЛНЯЕМЫМ ЗА СЧЕТ СУБВЕНЦИЙ ИЗ ФЕДЕРАЛЬНОГО И ОБЛАСТНОГО БЮДЖЕТА И ИСТОЧНИКОВ ФИНАНСИРОВАНИЯ ДЕФИЦИТА БЮДЖЕТА В ЧАСТИ ОСТАТКОВ СУБВЕНЦИЙ ПРОШЛЫХ ЛЕТ.
</t>
  </si>
  <si>
    <t>2011 год
 ( план )</t>
  </si>
  <si>
    <t>2011 год
(факт )</t>
  </si>
  <si>
    <t>2012 год</t>
  </si>
  <si>
    <t>Субвенция на осуществление полномочий по первичному воинскому учету на территориях, где отсутствуют военные комиссариаты за счет средств областного бюджета</t>
  </si>
  <si>
    <t>530</t>
  </si>
  <si>
    <t>1) 01.01.00;
2) 01.01.06;
3) 01.01.08;
4) 08.09.06</t>
  </si>
  <si>
    <t xml:space="preserve">
2) 31.12.08
</t>
  </si>
  <si>
    <t>2.0</t>
  </si>
  <si>
    <t>Обеспечение деятельности подведомственных учреждений за счет субвенции из областного бюджета на осуществление отдельных гос.полномоий по воспитанию и обучению детей-инвалидов в дошкольных образовательных учреждениях</t>
  </si>
  <si>
    <t xml:space="preserve">1) Закон Российской Федерации от 10.07.1992 № 3266-1 "Об образовании" 2) Закон НО от 04.08.2005 № 96-З "Об утверждении комплексной областной целевой программы развития образования в НО на 2006-2010 годы"
3) Закон НО от 30.12.2005 № 212-З "О социальной поддержке отдельных категорий граждан в целях реализации их права на образование"
4) Постановление Правительства НО от 15.10.2008г. № 468 "Об оплате труда работников государственных образовательных учреждений НО, а также иных государственных учреждений НО, учредителем которых является Министерство образования НО" 5)Постановление администрации Шарангского района  от 27.10.2008г. №83 "Об утверждении Положения об оплате труда работников муниципальных образовательных учреждений Шарангского района НО"   </t>
  </si>
  <si>
    <t xml:space="preserve">1) 01.01.2006,
2) 10.07.1992 3) 04.08.2005
4) 30.12.2005
5) 01.04.2009                 6) 01.01.2009                           7) 01.02.2011г </t>
  </si>
  <si>
    <t xml:space="preserve">1)  не установлен
2) не установлен 3) 31.12.2010
4) не установлен
5)  не установлен                   6)  Не установлен                                7) 31.12.2011г </t>
  </si>
  <si>
    <t xml:space="preserve">Обеспечение деятельности подведомственных учреждений за счет субвенции на осуществление полномочий в области общего образования </t>
  </si>
  <si>
    <t>1) Постановление Правительства РФ от 30.12.2005 N 850 (с изм. от 07.09.2006) "О вознаграждении педагогических работников федеральных государственных общеобразовательных учреждений за выполнение функций классного руководителя" 2) Закон Нижегородской области от 07.09.2007 N 121-З (ред. от 07.02.2011, с изм. от 10.02.2012) "О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граждан" Закон Нижегородской области от 07.09.2007 N 121-З (ред. от 07.02.2011, с изм. от 10.02.2012) "О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граждан"</t>
  </si>
  <si>
    <t>1) 01.01.2006г  2) 27.09.2007г</t>
  </si>
  <si>
    <t>Оздоровление детей за счет субвенции из областного бюджета</t>
  </si>
  <si>
    <t>07     07</t>
  </si>
  <si>
    <t>244 611</t>
  </si>
  <si>
    <t>07        07</t>
  </si>
  <si>
    <t>09          09</t>
  </si>
  <si>
    <t xml:space="preserve"> Закон Нижегородской области от 25 декабря 2008 года N 182-З "О внесении изменений в статьи 1 и 5 Закона Нижегородской области "О наделении органов местного самоуправления отдельными государственными полномочиями в области образования".</t>
  </si>
  <si>
    <t>01.01.2009г</t>
  </si>
  <si>
    <t>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</si>
  <si>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07       07</t>
  </si>
  <si>
    <t>09         09</t>
  </si>
  <si>
    <t>120  240</t>
  </si>
  <si>
    <t xml:space="preserve"> Закон Нижегородской области от 7 сентября 2007 года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граждан",</t>
  </si>
  <si>
    <t>10        10</t>
  </si>
  <si>
    <t>04           04</t>
  </si>
  <si>
    <t>244           310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</si>
  <si>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</si>
  <si>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Постановление Правительства НО от 23.05.2005г. №320 "Об утверждении правил финансового обеспечения переданных исполнительно-распорядительных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РФ"</t>
  </si>
  <si>
    <t>23.05.2005г.</t>
  </si>
  <si>
    <t>2.3.</t>
  </si>
  <si>
    <t>Субвенция на осуществление отдельных государственных полномочий по поддержке сельскохозяйственного производства</t>
  </si>
  <si>
    <t>Субвенция на компенсацию части затрат на приобретение средств химизации за счет средств областного бюджета</t>
  </si>
  <si>
    <t>Субвенции на поддержку элитного семеноводства за счет средств областного бюджета</t>
  </si>
  <si>
    <t>Субвенция на компенсацию части затрат по страхованию урожая с.х. культур, урожая многолетних насаждений и посадок многолетних насаждений за счет средст областного бюджета</t>
  </si>
  <si>
    <t>01  01</t>
  </si>
  <si>
    <t>13  13</t>
  </si>
  <si>
    <t>0920305  0020401</t>
  </si>
  <si>
    <t>880   240</t>
  </si>
  <si>
    <t xml:space="preserve">Мероприятия в рамках разрабатываемой программы Семья"  </t>
  </si>
  <si>
    <t xml:space="preserve">Мероприятия в рамках разрабатываемой программы "Социальная поддержка инвалидов в Шарангском районе"  </t>
  </si>
  <si>
    <t xml:space="preserve">Мероприятия в рамках разрабатываемой программы "Старшее поколение" </t>
  </si>
  <si>
    <t xml:space="preserve">Мероприятия в рамках разрабатываемой программы "Ветераны боевых действий" </t>
  </si>
  <si>
    <t>2180100</t>
  </si>
  <si>
    <t>7950704</t>
  </si>
  <si>
    <t>7951001</t>
  </si>
  <si>
    <t>7951002</t>
  </si>
  <si>
    <t>0920311</t>
  </si>
  <si>
    <t>5160130</t>
  </si>
  <si>
    <t>510</t>
  </si>
  <si>
    <t xml:space="preserve">0020401               </t>
  </si>
  <si>
    <t>5210301</t>
  </si>
  <si>
    <t xml:space="preserve">0020401             </t>
  </si>
  <si>
    <t>4529900           5207209            4879902       5207209</t>
  </si>
  <si>
    <t>08     11  11</t>
  </si>
  <si>
    <t>04        02   02</t>
  </si>
  <si>
    <t>4529900           4879902    5129700</t>
  </si>
  <si>
    <t>240         240    240</t>
  </si>
  <si>
    <t>11  11</t>
  </si>
  <si>
    <t>02   02</t>
  </si>
  <si>
    <t>5129700   4879902</t>
  </si>
  <si>
    <t>880    850</t>
  </si>
  <si>
    <t>4419900                 5207209          5205400               7950801          5053300</t>
  </si>
  <si>
    <t>04   04</t>
  </si>
  <si>
    <t>05   05</t>
  </si>
  <si>
    <t xml:space="preserve">0020401          0020401             0920305                            </t>
  </si>
  <si>
    <t>5140500</t>
  </si>
  <si>
    <t>810    810</t>
  </si>
  <si>
    <t>7950300</t>
  </si>
  <si>
    <t>7950408</t>
  </si>
  <si>
    <t>Оценка недвижимости, признание прав и регулирование отношений по муниципальной собственности</t>
  </si>
  <si>
    <t>3380000</t>
  </si>
  <si>
    <t xml:space="preserve">3400300                   </t>
  </si>
  <si>
    <t>Мероприятия в рамках разрабатываемой программы  поддержки и развития малого предпринимательства в Шарангском муниципальном районе</t>
  </si>
  <si>
    <t>Мероприятия в рамках разрабатываемой программы  "Развитие пассажирского транспорта на территории Шарангского муниципального района"</t>
  </si>
  <si>
    <t>3500200</t>
  </si>
  <si>
    <t>05  05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</si>
  <si>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2009 год"  и бюджетные инвестиции</t>
  </si>
  <si>
    <t>7950709</t>
  </si>
  <si>
    <t xml:space="preserve">Мероприятия в рамках разрабатываемой муниципальной программы "Обеспечение жильем молодых семей в Шарангском районе НО"  </t>
  </si>
  <si>
    <t xml:space="preserve">Мероприятия в рамках разрабатываемой муниципальной программы "Ипотечное жилищное кредитование населения Шарангского района НО "  </t>
  </si>
  <si>
    <t>7951007</t>
  </si>
  <si>
    <t>Мероприятия в рамках разрабатываемой муниципальной программы "Профилактика безнадзорности и правонарушений несовершеннолетних в Шарангском районе "</t>
  </si>
  <si>
    <t>7961006</t>
  </si>
  <si>
    <t>4219901</t>
  </si>
  <si>
    <t>4320202           4320202</t>
  </si>
  <si>
    <t>04   04       04               04   04   04   04</t>
  </si>
  <si>
    <t>0020404         0020404         0020404               0020404    0027303  0027303  0027303</t>
  </si>
  <si>
    <t>120        244           852           880   120      240   850</t>
  </si>
  <si>
    <t>05          05             05            05   05   05   05</t>
  </si>
  <si>
    <t>04  04</t>
  </si>
  <si>
    <t>810  810</t>
  </si>
  <si>
    <t>Субвенция на возмещение части % ставки по долгосрочным, среднесрочным и краткосрочным кредитам, взятым малыми формами хозяйствования</t>
  </si>
  <si>
    <t xml:space="preserve">Субвенция на поддержку племенного животноводства </t>
  </si>
  <si>
    <t>5228005  6207319</t>
  </si>
  <si>
    <t>810   810</t>
  </si>
  <si>
    <t xml:space="preserve">Субвенции на стабилизацию и увеличение поголовья КРС </t>
  </si>
  <si>
    <t>5228006    6207320</t>
  </si>
  <si>
    <t>Субвенция на возмещение части затрат на приобретение зерноуборочных и кормоуборочных  комбайнов отечественного производства</t>
  </si>
  <si>
    <t>01    01  01</t>
  </si>
  <si>
    <t>06       13    13</t>
  </si>
  <si>
    <t>0020401            0920305     0020401</t>
  </si>
  <si>
    <t>240             240     240</t>
  </si>
  <si>
    <t>7951003</t>
  </si>
  <si>
    <t>Областная целевая программа "Ипотечное жилищное кредитование населения НО"</t>
  </si>
  <si>
    <t>5225300</t>
  </si>
  <si>
    <t>7951004</t>
  </si>
  <si>
    <t>Субсидия  МУП "Шарангское ПАП"</t>
  </si>
  <si>
    <t>07     07      07               07      07          07         07        07  07</t>
  </si>
  <si>
    <t>4529900          7950701         7950702      7950705           7950707       7950708       7950710  7951007   7951008</t>
  </si>
  <si>
    <t>852   880 880      880          800      880   880       880  880</t>
  </si>
  <si>
    <t>09     02         02         02      02         02       02      09         02</t>
  </si>
  <si>
    <t>07          07             07      07</t>
  </si>
  <si>
    <t>4320201      4320203             5226602               7950710</t>
  </si>
  <si>
    <t>610            610              610  610</t>
  </si>
  <si>
    <t>07             07             07     07</t>
  </si>
  <si>
    <t>4529900      5205500</t>
  </si>
  <si>
    <t>01      01             01    01    03  03  03</t>
  </si>
  <si>
    <t>04     04             13   13      09   09  09</t>
  </si>
  <si>
    <t>0020401                 0020800                0939900     5207209      3029900    5207209  5205500</t>
  </si>
  <si>
    <t>120   120              120   120    120    120   120</t>
  </si>
  <si>
    <t>Бюджетные инвестиции в объекты муниципальной собственности</t>
  </si>
  <si>
    <t>04  04  04  04</t>
  </si>
  <si>
    <t>09           09  09   09</t>
  </si>
  <si>
    <t>3150203    3150204  5223102  5223103</t>
  </si>
  <si>
    <t>240  240  240  240</t>
  </si>
  <si>
    <t>Субсидии  на капитальный ремонт и ремонт автомобильных дорог общего пользования населенных пунктов и дворовых территорий</t>
  </si>
  <si>
    <t>5129700</t>
  </si>
  <si>
    <t>Мероприятия в области физической культуры и спорта</t>
  </si>
  <si>
    <t>0020403           0020403</t>
  </si>
  <si>
    <t>5201000                 5201000</t>
  </si>
  <si>
    <t>05    05  05  05</t>
  </si>
  <si>
    <t>2670501  6207326   2603000  5228010</t>
  </si>
  <si>
    <t>810  810   810   810</t>
  </si>
  <si>
    <t>810   810   810</t>
  </si>
  <si>
    <t>5226002   5228012</t>
  </si>
  <si>
    <t xml:space="preserve">05  05   </t>
  </si>
  <si>
    <t xml:space="preserve">04  04  </t>
  </si>
  <si>
    <t xml:space="preserve">810  810   </t>
  </si>
  <si>
    <t>2060100  5228004</t>
  </si>
  <si>
    <t>5228008</t>
  </si>
  <si>
    <t>6207322   5228011</t>
  </si>
  <si>
    <t>0020405</t>
  </si>
  <si>
    <t>1) Федеральный закон от 06.10.2003 № 131-ФЗ "Об общих принципах организации местного самоуправления в Российской Федерации"
2) Закон Нижегородской области от 03.08.2007 № 99-З "О муниципальной службе в Нижегородской области"
3) Закон Нижегородской области от 10.10.2003 № 93-З "О денежном содержании лиц, замещающих муниципальные должности в Нижегородской области"                            4)Решение ЗС Шарангского района от 27.03.2008г. №5 "Об утверждении положения о муниципальной службе в Шарангском муниципальном районе"</t>
  </si>
  <si>
    <t xml:space="preserve">1) не установлена 2) не установлена  3) не установлена 4) не установлена 
</t>
  </si>
  <si>
    <t>1) 01.01.00;
2) 06.12.11;
3) 01.01.09</t>
  </si>
  <si>
    <t xml:space="preserve">1) Бюджетный кодекс Российской Федерации от 31.07.98 № 145-ФЗ, статья 135, абзацы 1, 2;
2) Закон Нижегородской области от 06.12.11г. №177-З "О межбюджетных отношениях в Нижегородской области", статья 7, статья 9, пункт 1 3) Решение ЗС Шарангского района №45 от 25.11.2011г. "О межбюджетных отношениях в Шарангском районе"     </t>
  </si>
  <si>
    <t>Иные межбюджетные трансферты по РЦП "Организация общественных оплачиваемых работ и временного трудоустройства на территории Шарангского района в 2013 году"."</t>
  </si>
  <si>
    <t xml:space="preserve">1)Постановление Правительства Нижегородской области от 11.02.2010г. №56 "Об утверждении региональной адресной программы "Проведение капитального ремонта многоквартирных домов в 2010 - 2011 годах на территории Нижегородской области"   2) Решение ЗС Шарангского района №45 от 25.11.2011г. "О межбюджетных отношениях в Шарангском  районе"    </t>
  </si>
  <si>
    <t xml:space="preserve">1) Бюджетный кодекс Российской Федерации от 31.07.98 № 145-ФЗ;
2) Закон Нижегородской области от 06.12.11г. № 177-З "О межбюджетных отношениях в Нижегородской области"  3)Решение ЗС Шарангского района №45 от 25.11.2011г. "О межбюджетных отношениях в Шарангском районе"    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</si>
  <si>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27.05.03 № 58-ФЗ "О системе государственной службы Российской Федерации"; 
3) Закон Нижегородской области от 03.08.2007 № 99-З "О муниципальной службе в Нижегородской области"
4) Закон Нижегородской области от 10.10.2003 № 93-З "О денежном содержании лиц, замещающих муниципальные должности в Нижегородской области"                            5)Решение ЗС Шарангского района от 29.05.2012г. №26 "Об утверждении положения о муниципальной службе в Шарангском муниципальном районе"</t>
  </si>
  <si>
    <t xml:space="preserve">1) не установлена 2) не установлена  3) не установлена 4) не установлена 5) не установлена  
</t>
  </si>
  <si>
    <t>1) Федеральный закон от 06.10.2003 № 131-ФЗ "Об общих принципах организации местного самоуправления в Российской Федерации" 2) Федеральный закон от 04.12.2007 № 329-ФЗ "О физической культуре и спорте в Российской Федерации" 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годы"4)   Закон НО №76-З от 11.06.2009г. "О физической культуре и спорте в НО" 5) Постановление Администрации Шарангского района №195 от 19.09.2009г. "Об утверждении Положения об оплате труда работников муниципальных бюджетных учреждений физической культуры и спорта Шарангского муниципального района НО"</t>
  </si>
  <si>
    <t xml:space="preserve">1) Налоговый кодекс Российской Федерации, от 05.08.00 № 117-ФЗ 
2) Федеральный закон от 10.01.02 № 7-ФЗ "Об охране окружающей среды", статья 16, подпункты 1, 3;
3) Постановление Правительства Российской Федерации от 28.08.92 № 632 "Об утверждении Порядка определения платы и ее предельных размеров за загрязнение окружающей природной среды, размещение отходов, другие виды вредного воздействия";
4) Постановление Правительства Российской Федерации от 12.06.03 № 344 "О нормативах платы за выбросы в атмосферный воздух загрязняющих средств стационарными и передвижными источниками, сбросы загрязняющих веществ в поверхностные и подземные водные объекты, размещение отходов производства и потребления" </t>
  </si>
  <si>
    <t xml:space="preserve">1) не установлена 2) не установлена  3) не установлена 4) не установлена
</t>
  </si>
  <si>
    <t>1) Федеральный закон от 06.10.2003 № 131-ФЗ "Об общих принципах организации местного самоуправления в Российской Федерации"
2) Закон Нижегородской области от 03.08.2007 № 99-З "О муниципальной службе в Нижегородской области"
3) Закон Нижегородской области от 10.10.2003 № 93-З "О денежном содержании лиц, замещающих муниципальные должности в Нижегородской области"  4) Решение ЗС Шарангского района от 29.05.2012г. №26 "Об утверждении положения о муниципальной службе в Шарангском муниципальном районе"</t>
  </si>
  <si>
    <t xml:space="preserve">1)  не установлен
2) не установлен
3)  не установлен                   </t>
  </si>
  <si>
    <t xml:space="preserve">07                   </t>
  </si>
  <si>
    <t>Постановление администрации Шарангского района от 17.09.2012г. №110 "Об утверждении программы организации общественных работ и временного трудоустройства на территории Шарангского района в 2013 году"</t>
  </si>
  <si>
    <t>01.01.13г.</t>
  </si>
  <si>
    <t>31.12.13г.</t>
  </si>
  <si>
    <t>Постановление Администрации Шарангского  района от 12.12.2012г. №147 "Об утверждении районной целевой программы "Развитие пассажирского автотранспорта на 2013-2015 годы"</t>
  </si>
  <si>
    <t>01.01.2013г</t>
  </si>
  <si>
    <t xml:space="preserve"> 1)Федеральный закон от 06.10.2003 № 131-ФЗ "Об общих принципах организации местного самоуправления в Российской Федерации"2) Постановление Администрации Шарангского муниципального района  от 28.02.2013г. №25 Об утверждении РЦП "Развитие агропромышленного комплекса Шарангского муниципального района НО на 2013-2020 годы"
</t>
  </si>
  <si>
    <t xml:space="preserve"> 1)не установлена  2)31.12.20г</t>
  </si>
  <si>
    <t xml:space="preserve"> 1)  06.10.2003  2) 01.01.13г.</t>
  </si>
  <si>
    <t>1)31.12.15г 2)31.12.13г</t>
  </si>
  <si>
    <t>1) 01.01.11г  2) 01.01.11г</t>
  </si>
  <si>
    <t>1)Постановление Правительства РФ от 17.12.2010г.№1050 "О федеральной целевой программе "Жилище"на 2011-2015гг. 2) Постановление администрации  Шарангского района   от 18.11.2010г. №127 "Об утверждении РЦП "Обеспечение жильем молодых семей" на 2011-2013 годы</t>
  </si>
  <si>
    <t>1)Постановление Правительства НО от 11.01.2000г. №28 "О мерах по развитию системы ипотечного жилищного кредитования в РФ"  2)Постановление Правительства НО №548 от 30.07.2009г. "Об утверждении ОЦП "Ипотечное жилищное кредитование населения НО" на 2009-2020гг.</t>
  </si>
  <si>
    <t>1)17.01.00г  2)01.01.09г.</t>
  </si>
  <si>
    <t>1)не установлена   2)31.12.20г</t>
  </si>
  <si>
    <t>1) 22.04.96г 2) 01.01.2013г.</t>
  </si>
  <si>
    <t>1) не установлена 2) 31.12.2013г.</t>
  </si>
  <si>
    <t xml:space="preserve">1)Закон Российской Федерации от 19 апреля 1991 года N 1032-1 "О занятости населения в Российской Федерации", 2)Постановление администрации Шарангского района № 110 от 17.09.2012г. "Об утверждении районной Программы организации общественных оплачиваемых работ и временного трудоустройства на территории Шарангского района в 2013 году"
</t>
  </si>
  <si>
    <t xml:space="preserve">1) 01.01.00;
2) 01.01.12г 3) 01.01.2012г
</t>
  </si>
  <si>
    <t>услуги по организации и проведению концертных программ,фестивалей,смотров,конкурсов,конференций,презентаций,концертов,тематических кинопоказов,творческих встреч,юбилейных вечеров,церемоний вручений премий,праздников,акций и других культурно-массовых мероприятий</t>
  </si>
  <si>
    <t>услуги по созданию и поддержке муниципальных музеев,в том числе по обеспечению пополнения и сохранности музейных фондов</t>
  </si>
  <si>
    <t>06.10.2003г</t>
  </si>
  <si>
    <t xml:space="preserve">1)Федеральный Закон от 29 декабря 2012 года N 273-ФЗ "Об образовании в Российской Федерации" 2)  Постановление Правительства НО от 15.10.2008г. № 468 "Об оплате труда работников государственных образовательных учреждений НО, а также иных государственных учреждений НО, учредителем которых является Министерство образования НО" 3)Постановление администрации Шарангского района  от 27.10.2008г. №83 "Об утверждении Положения об оплате труда работников муниципальных образовательных учреждений Шарангского района НО"  </t>
  </si>
  <si>
    <t xml:space="preserve"> 1)не установлена  2)31.12.2015г 3)31.12.2016г  4)31.12.2016г    5)31.12.2013г     6)31.12.2015г.  7)31.12.2014г 8)31.12.2013г.</t>
  </si>
  <si>
    <t>1)Федеральный Закон от 29 декабря 2012 года N 273-ФЗ "Об образовании в Российской Федерации" 2) Закон НО от 30.12.2005 № 212-З "О социальной поддержке отдельных категорий граждан в целях реализации их права на образование"3)  Постановление Правительства области от 25.03.2009г.№149 "Об организации отдыха, оздоровления и занятости детей и молодежи НО""</t>
  </si>
  <si>
    <t>1)Федеральный Закон от 29 декабря 2012 года N 273-ФЗ "Об образовании в Российской Федерации" 2) Закон НО от 30.12.2005 № 212-З "О социальной поддержке отдельных категорий граждан в целях реализации их права на образование"
3) Постановление Правительства НО от 15.10.2008г. № 468 "Об оплате труда работников государственных образовательных учреждений НО, а также иных государственных учреждений НО, учредителем которых является Министерство образования НО" 4)Постановление администрации Шарангского района  от 27.10.2008г. №83 "Об утверждении Положения об оплате труда работников муниципальных образовательных учреждений Шарангского района НО"  5) Приказ управления финансов от 30.12.2010г.№45 "Об утверждении метод.рекомендаций по формированию муниципальных заданий муниципальным учреждениям Шарангского муниц.района и контролю за их выполнением" 6) Приказ управления финансовот 30.12.2010г.№46 "Об утверждении метод.рекомендаций по расчету нормативных затрат на оказание муниципальным учреждениям Шарангского муниц.района муниципальных услуг и нормативных затрат на содержание имущества мун.учреждений Шарангского муниц.района"</t>
  </si>
  <si>
    <t xml:space="preserve">1) 01.09.2013г
2) 01.01.2005
3) 01.04.2009
4) 01.04.2009  5) 01.01.2012г6) 01.01.2012г              </t>
  </si>
  <si>
    <t xml:space="preserve">1)  не установлена
2) не установлена
3) не установлен
4)  не установлен 5) не установлена  6) не установлена                   </t>
  </si>
  <si>
    <t xml:space="preserve">1)  не установлен
2) не установлена
3)  не установлен                   </t>
  </si>
  <si>
    <t>1) 01.09.2013,
2) 01.01.2005
 3) 25.03.2009</t>
  </si>
  <si>
    <t xml:space="preserve">1) 01.09.2013,
2)  01.10.2008
3) 01.04.2009                 </t>
  </si>
  <si>
    <t>1Постановлениями Правительства Российской Федерации от 26 мая 2008 г. N 392 "О формировании, предоставлении и распределении субсидий из федерального бюджета бюджетам субъектов Российской Федерации"
2) Постановление Правительства Нижегородской области от 13.10.2012 № 803 "О государственной поддержки агропромышленного комплекса Нижегородской областиу"</t>
  </si>
  <si>
    <t xml:space="preserve">1) 01.01.2009  2) 01.01.2013г
</t>
  </si>
  <si>
    <t xml:space="preserve">1) 31.12.2011  2) не установлена
</t>
  </si>
  <si>
    <t>1)   06.10.03г.</t>
  </si>
  <si>
    <t>0020401          0021100</t>
  </si>
  <si>
    <t xml:space="preserve">01      01              </t>
  </si>
  <si>
    <t xml:space="preserve">03   03         </t>
  </si>
  <si>
    <t xml:space="preserve">120   120      </t>
  </si>
  <si>
    <t>0020401            0020401          6000501</t>
  </si>
  <si>
    <t>852     880         880</t>
  </si>
  <si>
    <t>1) 01.01.2001 2) 12.01.2002г  3)  01.01.1993г  4) 21.06.2003г</t>
  </si>
  <si>
    <t xml:space="preserve"> 1)Федеральный закон от 06.10.2003 № 131-ФЗ "Об общих принципах организации местного самоуправления в Российской Федерации"
2)Постановление Администрации Шарангского района №126 от 28.11.2011г."Об утверждении РЦП "Молодежь Шарангского района" 
3)Постановление Администрации Шарангского района  № 127 от 03.11.2012г. "Об утверждении РЦП "Патриотическое воспитание детей и молодежи  Шарангского района" 4) Постановление Администрации  Шарангского района   от 13.12.2010г. №138 Об утверждении целевой программы "Одаренные дети"   5)Постановление Администрации Шарангского района №115 от 01.11.2011г."Об утверждении КРЦП "Профилактика преступлений и иных правонарушений на территории Шарангского района на 2011-2013г 6)Решение Земского собрания №108 от 14.09.2012г. "Об утверждении РЦП "Повышение безопасности дорожного движения в Шарангском районе". 7)Постановление Администрации Шарангского района № 128 от 28.12.2011г."Об утверждении РКЦП по организации отдыха, оздоровления и занятости детей и молодежи Шарангского района "Каникулы" на 2012-2014гг. 8)Постановление Администрации Шарангского района № 116 от 08.11.2010г.Об утверждении РЦП "Профилактика безнадзорности и  правонарушений несовершеннолетних в Шарангском районе"</t>
  </si>
  <si>
    <t>01    01    01   01      01              03</t>
  </si>
  <si>
    <t>04               04   13     13          13        09</t>
  </si>
  <si>
    <t>0020401                        7950400          0920305       0929900       0939900        3029900</t>
  </si>
  <si>
    <t xml:space="preserve">240             240            240     240      240    240             </t>
  </si>
  <si>
    <t>1) не установлена 2) не установлена  3) не установлена</t>
  </si>
  <si>
    <t>1) Федеральный закон от 06.10.2003 № 131-ФЗ "Об общих принципах организации местного самоуправления в Российской Федерации" 2) Федеральный Закон от 19.05.1195г. №82-ФЗ "Об общественных объединениях" 3) Постановление Администрации Шарангского района №12 от 20.02.2009г. "О финансовой поддержке общественных объединений и религиозных организаций"</t>
  </si>
  <si>
    <t>1) 01.01.2009г 2) 22.05.1995г.  3)20.02.09г.</t>
  </si>
  <si>
    <t xml:space="preserve">1)01.01.09г  
2) 25.08.07;
3) 01.10.03 4) 27.03.08 </t>
  </si>
  <si>
    <t>1)01.01.09г   2)01.01.2011г. 3)01.01.2011г. 4)01.01.2013г. 5)01.01.2012г.  6)01.01.2013г.  7)01.01.2012г. 8)01.01.2011г</t>
  </si>
  <si>
    <t xml:space="preserve">01.01.09г </t>
  </si>
  <si>
    <t xml:space="preserve">1) 01.01.09г 
2) 25.08.07;
3) 01.10.03 4) 29.05.12г. </t>
  </si>
  <si>
    <t xml:space="preserve">1)01.01.09г 
2) 30.03.2008г
3) 01.01.2006 4) 29.06.2009г. 
</t>
  </si>
  <si>
    <t xml:space="preserve">1)01.01.09г 
2) 30.03.2008г
3) 01.01.2006 4) 29.06.2009г5) 01.01.2009г
</t>
  </si>
  <si>
    <t xml:space="preserve">1) 01.01.09г    
2) 31.05.03;
 3) 25.08.07;
4) 01.10.03 5) 29.05.12г </t>
  </si>
  <si>
    <t xml:space="preserve">1) 01.01.09г  2) 01.01.2010г   </t>
  </si>
  <si>
    <t xml:space="preserve">1)01.01.09г  2) 01.01.2010г   </t>
  </si>
  <si>
    <t xml:space="preserve">1) 01.01.09г 2) 01.01.2011г   </t>
  </si>
  <si>
    <t xml:space="preserve">1)01.01.09г 2) 01.01.2011г   </t>
  </si>
  <si>
    <t xml:space="preserve">1)01.01.09г 
2) 25.08.07;
3) 01.10.03 4) 27.03.08 </t>
  </si>
  <si>
    <t>1) 01.01.09г.
2) 08.02.1992  3) 19.05.2006                           4) 01.01.2009</t>
  </si>
  <si>
    <t xml:space="preserve">1) 01.01.2009,  2) 08.02.1992г  3) 19.05.2006                           </t>
  </si>
  <si>
    <t>1) Федеральный закон от 06.10.2003 № 131-ФЗ "Об общих принципах организации местного самоуправления в Российской Федерации"
2)  Распоряжение Правительства Нижегородской области от 14.12.2004 № 747-р "Об утверждении Программы "Экономическое и социальное развитие Нижегородской области"
3)Постановление Администрации Шарангского района № 147 от 12.12.2012г. "Об утверждении РЦП "Развитие пассажирского транспорта  на территории Шарангского муниципального района НО на 2013-2015гг"</t>
  </si>
  <si>
    <t>1) не установлена
2)  не установлена
3) 31.12.2015г</t>
  </si>
  <si>
    <t xml:space="preserve">1) 01.01.2009
2) 01.01.2005г
3) 01.01.2013 </t>
  </si>
  <si>
    <t>Постановление Администрации Шарангского района от 22.06.2011г. №55 "Об утверждении программы поддержки и развития малого предпринимательства на 2011-2013 год"</t>
  </si>
  <si>
    <t>01.11.2011г</t>
  </si>
  <si>
    <t>31.12.2015г.</t>
  </si>
  <si>
    <t xml:space="preserve">1)  не установлена
2)   не установлена 3)  не установлена                               </t>
  </si>
  <si>
    <t>1) Федеральный закон от 27 июля 2010 года N 210-ФЗ "Об организации предоставления государственных и муниципальных услуг" 2) Федеральный закон от 26 июля 2006 года N 135-ФЗ "О защите конкуренции"</t>
  </si>
  <si>
    <t>1) 30.07.10г. 2) 26.10.06г.</t>
  </si>
  <si>
    <t>1) не установлена, 2) не установлена</t>
  </si>
  <si>
    <t xml:space="preserve">Постановление Администрации Шарангского района от 20.11.2013г. №308 "Об утверждении положения о порядке формирования и расходования целевого финансового резерва для предупреждения и дликвидации чрезвычайных ситуаций и последствий стихийных бедствий на территории Шарангского муниципального района НО"  </t>
  </si>
  <si>
    <t>01.01.2013г.</t>
  </si>
  <si>
    <t xml:space="preserve">1) Федеральный закон от 06.10.2003 № 131-ФЗ "Об общих принципах организации местного самоуправления в Российской Федерации"  п.3.ст.15; 2)Постановление Госстроя РФ от 27.09.2003г. №170 "Об утверждении Правил и норм технической эксплуатации жилищного фонда" 3)Приказ Госстроя РФ от 28.12.2000 N 303
"Об утверждении Методических рекомендаций по финансовому обоснованию тарифов на содержание и ремонт жилищного фонда"
</t>
  </si>
  <si>
    <t xml:space="preserve">1)01.01.2009г   2)03.11.2003г </t>
  </si>
  <si>
    <t xml:space="preserve">1)Решение ЗС Шарангского района №45 от 25.11.2011г. "О межбюджетных отношениях в Шарангском районе"    2) Постановление Правительства Нижегородской области от 19.06.2013 N 383
"Об утверждении региональной адресной программы "Переселение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2013 - 2015 годы"
</t>
  </si>
  <si>
    <t xml:space="preserve">Постановление Правительства Нижегородской области от 31.08.2012 N 599
(ред. от 14.11.2013)
"Об утверждении областной целевой программы "Развитие социальной и инженерной инфраструктуры как основы повышения качества жизни населения Нижегородской области на 2013 - 2015 годы"
</t>
  </si>
  <si>
    <t>1) Федеральный закон от 06.10.2003 № 131-ФЗ "Об общих принципах организации местного самоуправления в Российской Федерации"
2) Закон Нижегородской области от 03.08.2007 № 99-З "О муниципальной службе в Нижегородской области"
3) Закон Нижегородской области от 10.10.2003 № 93-З "О денежном содержании лиц, замещающих муниципальные должности в Нижегородской области"                            4)Решение ЗС Шарангского района от 27.03.2008г. №5 "Об утверждении положения о муниципальной службе в Шарангском муниципальном районе"5) Постановление Администрации Шарангского муниципального района НО от 21.10.2013г. №266"Об утверждении Положения об оплате труда работников Единой дежурно-диспетчерской службы Шарангского муниципального района"</t>
  </si>
  <si>
    <t>1)01.01.09г   
2) 25.08.07;
3) 01.10.03   4) 27.03.08     5)21.10.2013г</t>
  </si>
  <si>
    <t xml:space="preserve">1) не установлена 2) не установлена  3) не установлена 4) не установлена   5)не установлена
</t>
  </si>
  <si>
    <t xml:space="preserve">1) Федеральный закон от 06.10.2003 № 131-ФЗ "Об общих принципах организации местного самоуправления в Российской Федерации"  2)Федеральный Закон от 21.12.1994г. №68-ФЗ "О защите населения и территорий от чрезвычайных ситуаций природного и техногенного характера" 3) Постановление Администрации Шарангского района №159 от 27.12.2012г. "О создании единой дежурно-диспетчерской службы Шарангского муниципального района"
</t>
  </si>
  <si>
    <t>1)01.01.09г  2)24.12.94г  3)01.01.13г</t>
  </si>
  <si>
    <t>1)не установлена   2) не установлена</t>
  </si>
  <si>
    <t>1)01.01.2009г    2)01.01.2006г</t>
  </si>
  <si>
    <t>1) Федеральный закон от 06.10.2003 № 131-ФЗ "Об общих принципах организации местного самоуправления в Российской Федерации"  п.3.ст.15;2)Федеральный закон от 21.07.2005 N 94-ФЗ (ред. от 02.07.2013) "О размещении заказов на поставки товаров, выполнение работ, оказание услуг для государственных и муниципальных нужд"</t>
  </si>
  <si>
    <t xml:space="preserve">1) Федеральный закон от 06.10.2003 № 131-ФЗ "Об общих принципах организации местного самоуправления Российской Федерации"  п.3.ст.15;      2)Федеральный закон от 24.07.2002 N 101-ФЗ
(ред. от 07.06.2013)
"Об обороте земель сельскохозяйственного назначения"
</t>
  </si>
  <si>
    <t>1)01.01.2009     2)28.01.2003г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</si>
  <si>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30.12.2004 № 210-ФЗ "Об основах регулирования тарифов организаций коммунального комплекса" 3)Решение ЗС Шарангского района №37 от 27.10.11г. "Об утверждении Положения о порядке принятия решений об установлении тарифов на услуги муниципальных предприятий и учреждений"</t>
  </si>
  <si>
    <t>1) 01.01.2009, 
2) 01.01.2006г   3)27.10.11г.</t>
  </si>
  <si>
    <t>1) не установлена
2) не установлена   3) не установлена</t>
  </si>
  <si>
    <t>1) 01.01.2009г 
2) 01.01.2006    3)27.10.11г.</t>
  </si>
  <si>
    <t>1) не установлена
2) не установлена 3)не установлена</t>
  </si>
  <si>
    <t>1) Федеральный закон от 06.10.2003 № 131-ФЗ "Об общих принципах организации местного самоуправления в Российской Федерации"         2)  Постановление Правительства НО № 857 от 11.11.2009г. "Об утверждении  Положения о предоставлении из областного бюджета грантов на награждение победителей смотра-конкурса на звание  "Самый благоустроенный населенный пункт Нижегородской области"</t>
  </si>
  <si>
    <t xml:space="preserve">1) 01.01.2006   2) 01.01.2010г.
</t>
  </si>
  <si>
    <t xml:space="preserve">1)Постановление Правительства Нижегородской области от 30.11.2011 N 978
(ред. от 13.09.2013)
"Об утверждении Порядка формирования и использования бюджетных ассигнований дорожного фонда Нижегородской области" 2)Постановление Правительства Нижегородской области от 21.03.2013 N 171
(ред. от 12.11.2013)
"Об утверждении распределения в 2013 году субсидий между бюджетами муниципальных районов и городских округов Нижегородской области в рамках областной целевой программы "Совершенствование транспортной инфраструктуры Нижегородской области на 2012 - 2014 годы"
</t>
  </si>
  <si>
    <t>1)01.01.2012г  2)01.01.2012г.</t>
  </si>
  <si>
    <t xml:space="preserve">1) не установлена   2)31.12.2014г </t>
  </si>
  <si>
    <t xml:space="preserve"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
№ 3612-1 3)  Постановление Администрации Нижегородской области от 31.12.1996 № 333 "Об утверждении положения об основах хозяйственной деятельности и финансирования организаций культуры и искусства Нижегородской области" 4)  Постановление Администрации Шарангского района от 27.10.2008г. №84  "Об утверждении Положения об оплате труда работников муниципальных учреждений культуры Шарангского района НО  5) Приказ управления финансов Администрации Шарангского района от 30.12.2010г.№45 "Об утверждении метод.рекомендаций по формированию муниципальных заданий муниципальным учреждениям Шарангского муниц.района и контролю за их выполнением" 6) Приказ управления финансов Администрации Шарангского района от 30.12.2010г.№46 "Об утверждении метод.рекомендаций по расчету нормативных затрат на оказание муниципальным учреждениям Шарангского муниц.района муниципальных услуг и нормативных затрат на содержание имущества мун.учреждений Шарангского муниц.района"  7)Постановление администрации Шарангского района от 19.09.2013 N 195
"Об утверждении Положения об оплате труда работников муниципальных бюджетных учреждений физической культуры и спорта Шарангского муниципального района Нижегородской области"
          </t>
  </si>
  <si>
    <t xml:space="preserve">1) 01.01.09г 
2) 09.10.1992,  
3) 31.12.1996,
4) 01.01.2009г. 5) 01.01.2012г 6) 01.01.2012г   7)19.09.2013г                           </t>
  </si>
  <si>
    <t xml:space="preserve">1) не установлена
2)  не установлена
3)  не установлена  4) не установлена 5) не установлена 6) не установлена  7) не установлена
                     </t>
  </si>
  <si>
    <t>1) Бюджетный кодекс Российской Федерации от 31.07.98 №145-ФЗ, статья 135, абзац 4;
2) Закон Нижегородской области от 06.12.11г. №177-З "О межбюджетных отношениях в Нижегородской области"
3) Закон Нижегородской области от 05.10.07 №140-З "О наделении органов местного самоуправления муниципальных районов Нижегородской области отдельными государственными полномочиями по определению размера и распределению субвенций между бюджетами поселений, входящих в состав муниципальных районов Нижегородской области, на осуществление государственных полномочий Российской Федерации по первичному воинскому учету на территориях, где отсутствуют военные комиссариаты", статья 1;
4) Постановление Правительства Нижегородской области от 08.09.06 №293 "Об осуществлении полномочий по первичному воинскому учету на территориях, где отсутствуют военные комиссариаты", пункт 4</t>
  </si>
  <si>
    <t xml:space="preserve">1)25.01.1995г  2)07.05.2008г </t>
  </si>
  <si>
    <t>1) не установлена   2) не установлена</t>
  </si>
  <si>
    <t xml:space="preserve"> 1)Федеральный закон от 12 января 1995 года N 5-ФЗ «О ветеранах»,                            2)Указ Президента Российской Федерации от 7 мая 2008 года N 714 «Об обеспечении жильем ветеранов Великой Отечественной войны 1941-1945 годов»</t>
  </si>
  <si>
    <t>5200900</t>
  </si>
  <si>
    <t xml:space="preserve">Закон Нижегородской области от 04.05.2008 N 49-З "О внесении изменений в Закон Нижегородской области "О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граждан" (принят постановлением ЗС НО от 24.04.2008 N 984-IV) 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</si>
  <si>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27.05.03 № 58-ФЗ "О системе государственной службы Российской Федерации", статья 18; 
3) Закон Нижегородской области от 03.08.2007 № 99-З "О муниципальной службе в Нижегородской области"
4) Закон Нижегородской области от 10.10.2003 № 93-З "О денежном содержании лиц, замещающих муниципальные должности в Нижегородской области"                            5)Решение ЗС Шарангского района от 27.03.2008г. №5 "Об утверждении положения о муниципальной службе в Шарангском муниципальном районе" </t>
  </si>
  <si>
    <t xml:space="preserve">1) 01.01.2009   
2) 31.05.03;
 3) 25.08.07;
4) 01.10.03   5) 27.03.08    </t>
  </si>
  <si>
    <t xml:space="preserve">1) не установлена 2) не установлена  3) не установлена 4) не установлена 5) не установлена  
</t>
  </si>
  <si>
    <t xml:space="preserve">1)Постановление Правительства Нижегородской области от 02.11.2012 N 781
(ред. от 02.09.2013)
"Об утверждении положений по финансовой поддержке агропромышленного комплекса Нижегородской области"
2)Закон Нижегородской области от 11.11.2005 N 176-З
(ред. от 06.05.2013, с изм. от 03.09.2013)
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
</t>
  </si>
  <si>
    <t>1)01.01.2013г 2)01.01.2006г</t>
  </si>
  <si>
    <t>1)не установлена          2) не установлена</t>
  </si>
  <si>
    <t xml:space="preserve">1)Постановление Правительства Нижегородской области от 13.11.2012 N 803
(ред. от 15.10.2013)
"О государственной поддержке агропромышленного комплекса Нижегородской области"
2)Закон Нижегородской области от 11.11.2005 N 176-З
(ред. от 06.05.2013, с изм. от 03.09.2013)
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
</t>
  </si>
  <si>
    <t>1)01.01.2013г            2)01.01.2006г</t>
  </si>
  <si>
    <t xml:space="preserve">1)не установлена          2) не установлена  </t>
  </si>
  <si>
    <t>Субвенция на осуществление государственных полномочий  по созданию и организации деятельности муниципальных комиссий по делам несовершеннолетних</t>
  </si>
  <si>
    <t xml:space="preserve">1)Федеральный закон от 24.06.1999 N 120-ФЗ (ред. от 03.12.2011) "Об основах системы профилактики безнадзорности и правонарушений несовершеннолетних"  2)Постановление Правительства Нижегородской области от 29.01.2007 N 29
(ред. от 24.06.2009)
"О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комиссий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
</t>
  </si>
  <si>
    <t>1)28.06.1999г    2)29.01.2007г</t>
  </si>
  <si>
    <t>1 )не установлена        2) не установлена</t>
  </si>
  <si>
    <t>07                           07              07</t>
  </si>
  <si>
    <t>02                             02                  02</t>
  </si>
  <si>
    <t>4219902                 7950706            5207209</t>
  </si>
  <si>
    <t>610                          610              610</t>
  </si>
  <si>
    <t>07          07                 07                   07                07</t>
  </si>
  <si>
    <t>02             02                   02                    02             02</t>
  </si>
  <si>
    <t>4209906     4239902            5205300             5205400                      5207209</t>
  </si>
  <si>
    <t>610            610                    610                       610                   610</t>
  </si>
  <si>
    <t xml:space="preserve"> Постановление Правительства Нижегородской области от 31.08.2012 N 599
(ред. от 14.11.2013)
"Об утверждении областной целевой программы "Развитие социальной и инженерной инфраструктуры как основы повышения качества жизни населения Нижегородской области на 2013 - 2015 годы"
</t>
  </si>
  <si>
    <t>0013600</t>
  </si>
  <si>
    <t>0980304</t>
  </si>
  <si>
    <t>Обеспечение мероприятий по улучшению жилищных условий  граждан, переселяемых из аварийного жилищного фонда</t>
  </si>
  <si>
    <t>Иные межбюджетные трансферты по переселению граждан из аварийного жилищного фонда с учетом необходимости развития малоэтакжного жилищного строительства</t>
  </si>
  <si>
    <t>РЦП " Переселение граждан, проживающих в ветхом и непригодном для проживания жилом фонде"</t>
  </si>
  <si>
    <t>7950503</t>
  </si>
  <si>
    <t xml:space="preserve">4239902                     7950800          </t>
  </si>
  <si>
    <t xml:space="preserve">07                 07                   </t>
  </si>
  <si>
    <t xml:space="preserve">02                               02                                  </t>
  </si>
  <si>
    <t xml:space="preserve">610                    610                            </t>
  </si>
  <si>
    <t xml:space="preserve">08          08              08                            08           08                           </t>
  </si>
  <si>
    <t xml:space="preserve">01           01            01                 01                     01          </t>
  </si>
  <si>
    <t xml:space="preserve">610      610         610        610           610      </t>
  </si>
  <si>
    <t>0920311                             0920311                4409900               4429900</t>
  </si>
  <si>
    <t xml:space="preserve">07          08             08                08              </t>
  </si>
  <si>
    <t xml:space="preserve">02       01                01          01                   </t>
  </si>
  <si>
    <t xml:space="preserve">612                  612                612                    612          </t>
  </si>
  <si>
    <t xml:space="preserve">08          08       08             08        08                                </t>
  </si>
  <si>
    <t xml:space="preserve">01         01            01            01                           01     </t>
  </si>
  <si>
    <t>610       610              610               610               610</t>
  </si>
  <si>
    <t xml:space="preserve">4209902                  4209906             5205300                        5205500           7950706      </t>
  </si>
  <si>
    <t xml:space="preserve">610                            610                     610                   610              610       </t>
  </si>
  <si>
    <t xml:space="preserve">01             01                   01                    01                  01     </t>
  </si>
  <si>
    <t xml:space="preserve">07          07                 07                   07                      07        </t>
  </si>
  <si>
    <t>120    240</t>
  </si>
  <si>
    <t>0020402     0020402</t>
  </si>
  <si>
    <t>2600400     7950405    7950405</t>
  </si>
  <si>
    <t>04   04 04</t>
  </si>
  <si>
    <t>05   05 05</t>
  </si>
  <si>
    <t xml:space="preserve">880    240   360   </t>
  </si>
  <si>
    <t>04 04</t>
  </si>
  <si>
    <t>2600400     7950405</t>
  </si>
  <si>
    <t>528,1</t>
  </si>
  <si>
    <t>560,8</t>
  </si>
  <si>
    <t xml:space="preserve">Постановление Правительства Нижегородской области от 13.09.2010 N 603
(ред. от 12.09.2013)
"Об утверждении областной целевой программы "Меры социальной поддержки молодых специалистов Нижегородской области на 2011 - 2023 годы"
</t>
  </si>
  <si>
    <t>0020401                 5205400</t>
  </si>
  <si>
    <t xml:space="preserve">01.01.2014г. </t>
  </si>
  <si>
    <t xml:space="preserve">На награждение победителей областного конкурса на звание "Самый благоустроенный населенный пункт Нижегородской области" </t>
  </si>
  <si>
    <t xml:space="preserve"> Постановление Правительства НО № 857 от 11.11.2009г. "Об утверждении  Положения о предоставлении из областного бюджета грантов на награждение победителей смотра-конкурса на звание  "Самый благоустроенный населенный пункт Нижегородской области"</t>
  </si>
  <si>
    <t>01.01.2010г</t>
  </si>
  <si>
    <t>0980201   0980101</t>
  </si>
  <si>
    <t>540   540</t>
  </si>
  <si>
    <t>0980204   0980104</t>
  </si>
  <si>
    <t>540  540</t>
  </si>
  <si>
    <t>540  540  540  540</t>
  </si>
  <si>
    <t>04  05  05  05</t>
  </si>
  <si>
    <t>09  03  03  03</t>
  </si>
  <si>
    <t>6000201  6000101   6000301  6000501</t>
  </si>
  <si>
    <t>540  540 540      540</t>
  </si>
  <si>
    <t>5202500</t>
  </si>
  <si>
    <t>Иные межбюджетные трансферты на премирование победителей Всероссийского конкурса  на звание "Самое благоустроенное городское (сельское) поселение России"</t>
  </si>
  <si>
    <t xml:space="preserve">Постановление Правительства Нижегородской области от 11.07.2011 N 533
(ред. от 01.11.2013)
"О порядке проведения предварительного этапа Всероссийского конкурса на звание "Самое благоустроенное городское (сельское) поселение России" в Нижегородской области"
</t>
  </si>
  <si>
    <t>11.07.2011г.</t>
  </si>
  <si>
    <t>1008820</t>
  </si>
  <si>
    <t>10  10   10</t>
  </si>
  <si>
    <t>03   03   03</t>
  </si>
  <si>
    <t xml:space="preserve">7951005       5221200     5221303  </t>
  </si>
  <si>
    <t>320      320     320</t>
  </si>
  <si>
    <t>Субсидия на увеличение оплаты труда работников муниципальных учреждений и органов местного самоуправления</t>
  </si>
  <si>
    <t xml:space="preserve">Приказ минфина Нижегородской области от 24.01.2012 N 17
"О порядке подтверждения органами местного самоуправления муниципальных районов (городских округов) обеспечения софинансирования из бюджетов муниципальных районов (городских округов) расходов на увеличение оплаты труда работников муниципальных учреждений и органов местного самоуправления и предоставления органами местного самоуправления муниципальных районов (городских округов) в министерство финансов Нижегородской области отчетов об использовании субсидий на увеличение оплаты труда работников муниципальных учреждений и органов местного самоуправления"
</t>
  </si>
  <si>
    <t>24.01.2012г.</t>
  </si>
  <si>
    <t>03 04 10</t>
  </si>
  <si>
    <t>10  09 03</t>
  </si>
  <si>
    <t>2180500  2180100   2180100</t>
  </si>
  <si>
    <t>540          540  540</t>
  </si>
  <si>
    <t>Межбюджетные трансферты в рамках районной целевой программы "Пожарная безопасность объектов и населенных пунктов Шарангского района на 2011-2014 годы"</t>
  </si>
  <si>
    <t>1) Федеральный закон от 06.10.2003 № 131-ФЗ "Об общих принципах организации местного самоуправления в Российской Федерации"
2)  Постановление Администрации Шарангского района  №132 от 01.12.2010г. "Об утверждении целевой программы "Пожарная безопасность объектов и населенных пунктов Шарангского муниципального района"</t>
  </si>
  <si>
    <t xml:space="preserve">1) 01.01.09г ;
2) 01.01.11г.  </t>
  </si>
  <si>
    <t>1) не установлена
2)  31.12.14</t>
  </si>
  <si>
    <t>01   03    11</t>
  </si>
  <si>
    <t>04  10   02</t>
  </si>
  <si>
    <t>5205400    5205400   5205400</t>
  </si>
  <si>
    <t>540     540    540</t>
  </si>
  <si>
    <t>5205400          0920311        4409900                                     7950800    7950801</t>
  </si>
  <si>
    <t>5205400             4429900                                      7950800         7950801    4400200</t>
  </si>
  <si>
    <t>07   07    07</t>
  </si>
  <si>
    <t>09       09   09</t>
  </si>
  <si>
    <t>0020401       5205400   7950400</t>
  </si>
  <si>
    <t>120    120     120</t>
  </si>
  <si>
    <t>05  07                  07          07                        07   07  07  07</t>
  </si>
  <si>
    <t>03  01      02                 07       09  07   07     01</t>
  </si>
  <si>
    <t>6000503   4209902                   4219902                       5226602   4529900  5226603    7950710     5221900</t>
  </si>
  <si>
    <t>240         240     240           240    240      240   240    240</t>
  </si>
  <si>
    <t>6000503   1008900  4209902   7950400  7950706  0920311  4219902  4239902    7950706   4360900</t>
  </si>
  <si>
    <t xml:space="preserve">612   612   612    612 612 612 612 612 612 612 </t>
  </si>
  <si>
    <t xml:space="preserve">05  07  07  07   07  07  07  07  07  07   </t>
  </si>
  <si>
    <t>03    01  01   01  01  02  02  02  02   09</t>
  </si>
  <si>
    <t xml:space="preserve"> 01</t>
  </si>
  <si>
    <t xml:space="preserve">Федеральный Закон от 29 декабря 2012 года N 273-ФЗ "Об образовании в Российской Федерации" </t>
  </si>
  <si>
    <t xml:space="preserve"> 01.09.2013,
</t>
  </si>
  <si>
    <t xml:space="preserve"> не установлен
                   </t>
  </si>
  <si>
    <t>4362101</t>
  </si>
  <si>
    <t>Субвенция на модернизацию региональных систем общего образования</t>
  </si>
  <si>
    <t xml:space="preserve">Постановление Правительства РФ от 31.05.2011 N 436
(ред. от 14.02.2013)
"О порядке предоставления в 2011 - 2013 годах субсидий из федерального бюджета бюджетам субъектов Российской Федерации на модернизацию региональных систем общего образования"
</t>
  </si>
  <si>
    <t>14.06.2011г</t>
  </si>
  <si>
    <t>4447205    4530100  4440200   0700500</t>
  </si>
  <si>
    <t>810    810  810   810</t>
  </si>
  <si>
    <t>12   12  12   12</t>
  </si>
  <si>
    <t>01   01  01  01</t>
  </si>
  <si>
    <t>4447205   4570100   4440200</t>
  </si>
  <si>
    <t>810    810   810</t>
  </si>
  <si>
    <t>12    12  12</t>
  </si>
  <si>
    <t>02    02   02</t>
  </si>
  <si>
    <t>04   04   04</t>
  </si>
  <si>
    <t>12  12  12</t>
  </si>
  <si>
    <t>3450100    5225802    7950401</t>
  </si>
  <si>
    <t>03  03</t>
  </si>
  <si>
    <t>10   10</t>
  </si>
  <si>
    <t>07005007950300</t>
  </si>
  <si>
    <t>240  880</t>
  </si>
  <si>
    <t>08  08</t>
  </si>
  <si>
    <t>3030200   3170000</t>
  </si>
  <si>
    <t>810  244</t>
  </si>
  <si>
    <t>1020102  1020102</t>
  </si>
  <si>
    <t>04 05  05  05  05  05</t>
  </si>
  <si>
    <t>09  03  03  03  03  03</t>
  </si>
  <si>
    <t>6000201 6000101  6000102  6000301 6000501   6000501</t>
  </si>
  <si>
    <t>410 240  240  240240  880</t>
  </si>
  <si>
    <t>Награждение победителей смотра-конкурса на звание  "Самый благоустроенный населенный пункт Нижегородской области"</t>
  </si>
  <si>
    <t>410   410</t>
  </si>
  <si>
    <t>09 10</t>
  </si>
  <si>
    <t>05  05    05  07</t>
  </si>
  <si>
    <t>02   02   02  01</t>
  </si>
  <si>
    <t>1020102    5202900   5226500  5226500</t>
  </si>
  <si>
    <t>410   410      410    410</t>
  </si>
  <si>
    <t>02  02</t>
  </si>
  <si>
    <t>3510500  0700500</t>
  </si>
  <si>
    <t>810   240</t>
  </si>
  <si>
    <t xml:space="preserve">Таблица 1.РЕЕСТР РАСХОДНЫХ ОБЯЗАТЕЛЬСТВ РАЙОННОГО БЮДЖЕТА ШАРАНГСКОГО РАЙОНА НА 2013-2015 ГОДЫ ПО РАСХОДНЫМ ОБЯЗАТЕЛЬСТВАМ, ИСПОЛНЯЕМЫМ ЗА СЧЕТ СОБСТВЕННЫХ ДОХОДОВ И ИСТОЧНИКОВ ФИНАНСИРОВАНИЯ ДЕФИЦИТА РАЙОННОГО БЮДЖЕТА , ЗА ИСКЛЮЧЕНИЕМ ОСТАТКОВ СУБВЕНЦИЙ ПРОШЛЫХ ЛЕТ. 
</t>
  </si>
  <si>
    <t>2012 год
 ( факт )</t>
  </si>
  <si>
    <t>04 01</t>
  </si>
  <si>
    <t>09  11</t>
  </si>
  <si>
    <t>0700500   0700500</t>
  </si>
  <si>
    <t>540  870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</si>
</sst>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"/>
    <numFmt numFmtId="171" formatCode="#,##0.0"/>
    <numFmt numFmtId="172" formatCode="0.000"/>
    <numFmt numFmtId="173" formatCode="_-* #,##0.0_р_._-;\-* #,##0.0_р_._-;_-* &quot;-&quot;??_р_._-;_-@_-"/>
    <numFmt numFmtId="174" formatCode="_-* #,##0_р_._-;\-* #,##0_р_._-;_-* &quot;-&quot;??_р_._-;_-@_-"/>
    <numFmt numFmtId="175" formatCode="0.000%"/>
    <numFmt numFmtId="176" formatCode="0.0%"/>
    <numFmt numFmtId="177" formatCode="_-* #,##0.000_р_._-;\-* #,##0.000_р_._-;_-* &quot;-&quot;??_р_._-;_-@_-"/>
    <numFmt numFmtId="178" formatCode="_-* #,##0.0_р_._-;\-* #,##0.0_р_._-;_-* &quot;-&quot;?_р_._-;_-@_-"/>
    <numFmt numFmtId="179" formatCode="0.0000"/>
    <numFmt numFmtId="180" formatCode="000"/>
    <numFmt numFmtId="181" formatCode="00"/>
    <numFmt numFmtId="182" formatCode="000000"/>
    <numFmt numFmtId="183" formatCode="[$-FC19]d\ mmmm\ yyyy\ &quot;г.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  <font>
      <sz val="9"/>
      <name val="Times New Roman"/>
      <family val="1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b/>
      <sz val="8"/>
      <color indexed="17"/>
      <name val="Arial Cyr"/>
      <family val="0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name val="Arial Cyr"/>
      <family val="0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23"/>
      <name val="Times New Roman"/>
      <family val="1"/>
    </font>
    <font>
      <i/>
      <sz val="8"/>
      <color indexed="9"/>
      <name val="Times New Roman"/>
      <family val="1"/>
    </font>
    <font>
      <i/>
      <sz val="8"/>
      <name val="Arial Cyr"/>
      <family val="0"/>
    </font>
    <font>
      <b/>
      <sz val="8"/>
      <name val="Arial Narrow"/>
      <family val="2"/>
    </font>
    <font>
      <b/>
      <sz val="7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 Narrow"/>
      <family val="2"/>
    </font>
    <font>
      <sz val="8"/>
      <color indexed="23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0"/>
      <name val="Arial Cyr"/>
      <family val="0"/>
    </font>
    <font>
      <b/>
      <sz val="8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F0"/>
      <name val="Arial Cyr"/>
      <family val="0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B0F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7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170" fontId="19" fillId="0" borderId="0" xfId="0" applyNumberFormat="1" applyFont="1" applyBorder="1" applyAlignment="1">
      <alignment/>
    </xf>
    <xf numFmtId="170" fontId="1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70" fontId="18" fillId="0" borderId="0" xfId="0" applyNumberFormat="1" applyFont="1" applyBorder="1" applyAlignment="1">
      <alignment/>
    </xf>
    <xf numFmtId="170" fontId="76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2" xfId="0" applyFont="1" applyBorder="1" applyAlignment="1">
      <alignment wrapText="1"/>
    </xf>
    <xf numFmtId="0" fontId="16" fillId="0" borderId="12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0" fontId="18" fillId="34" borderId="0" xfId="0" applyNumberFormat="1" applyFont="1" applyFill="1" applyBorder="1" applyAlignment="1">
      <alignment/>
    </xf>
    <xf numFmtId="0" fontId="77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3" fontId="11" fillId="35" borderId="10" xfId="60" applyNumberFormat="1" applyFont="1" applyFill="1" applyBorder="1" applyAlignment="1">
      <alignment horizontal="center" vertical="center" wrapText="1"/>
    </xf>
    <xf numFmtId="0" fontId="11" fillId="35" borderId="10" xfId="60" applyNumberFormat="1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>
      <alignment horizontal="left" vertical="top" wrapText="1"/>
    </xf>
    <xf numFmtId="171" fontId="23" fillId="36" borderId="10" xfId="60" applyNumberFormat="1" applyFont="1" applyFill="1" applyBorder="1" applyAlignment="1">
      <alignment horizontal="right" vertical="top" wrapText="1"/>
    </xf>
    <xf numFmtId="49" fontId="16" fillId="37" borderId="10" xfId="0" applyNumberFormat="1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center" vertical="center" wrapText="1"/>
    </xf>
    <xf numFmtId="171" fontId="16" fillId="37" borderId="10" xfId="60" applyNumberFormat="1" applyFont="1" applyFill="1" applyBorder="1" applyAlignment="1">
      <alignment horizontal="right" vertical="center" wrapText="1"/>
    </xf>
    <xf numFmtId="49" fontId="11" fillId="38" borderId="10" xfId="0" applyNumberFormat="1" applyFont="1" applyFill="1" applyBorder="1" applyAlignment="1">
      <alignment horizontal="left" vertical="top" wrapText="1"/>
    </xf>
    <xf numFmtId="0" fontId="29" fillId="38" borderId="10" xfId="0" applyFont="1" applyFill="1" applyBorder="1" applyAlignment="1">
      <alignment horizontal="center" vertical="top" wrapText="1"/>
    </xf>
    <xf numFmtId="171" fontId="24" fillId="38" borderId="10" xfId="60" applyNumberFormat="1" applyFont="1" applyFill="1" applyBorder="1" applyAlignment="1">
      <alignment horizontal="right" vertical="top" wrapText="1"/>
    </xf>
    <xf numFmtId="171" fontId="11" fillId="39" borderId="10" xfId="0" applyNumberFormat="1" applyFont="1" applyFill="1" applyBorder="1" applyAlignment="1">
      <alignment horizontal="left" vertical="center" wrapText="1"/>
    </xf>
    <xf numFmtId="171" fontId="11" fillId="0" borderId="10" xfId="0" applyNumberFormat="1" applyFont="1" applyBorder="1" applyAlignment="1">
      <alignment horizontal="left" vertical="top" wrapText="1"/>
    </xf>
    <xf numFmtId="171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71" fontId="11" fillId="0" borderId="10" xfId="0" applyNumberFormat="1" applyFont="1" applyFill="1" applyBorder="1" applyAlignment="1">
      <alignment horizontal="left" vertical="top" wrapText="1"/>
    </xf>
    <xf numFmtId="171" fontId="11" fillId="39" borderId="10" xfId="6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top" wrapText="1"/>
    </xf>
    <xf numFmtId="171" fontId="11" fillId="38" borderId="10" xfId="0" applyNumberFormat="1" applyFont="1" applyFill="1" applyBorder="1" applyAlignment="1">
      <alignment horizontal="left" vertical="top" wrapText="1"/>
    </xf>
    <xf numFmtId="171" fontId="16" fillId="38" borderId="10" xfId="0" applyNumberFormat="1" applyFont="1" applyFill="1" applyBorder="1" applyAlignment="1">
      <alignment vertical="center" wrapText="1"/>
    </xf>
    <xf numFmtId="171" fontId="16" fillId="38" borderId="10" xfId="60" applyNumberFormat="1" applyFont="1" applyFill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left" vertical="top" wrapText="1"/>
    </xf>
    <xf numFmtId="171" fontId="11" fillId="0" borderId="10" xfId="0" applyNumberFormat="1" applyFont="1" applyBorder="1" applyAlignment="1">
      <alignment horizontal="left" vertical="center" wrapText="1"/>
    </xf>
    <xf numFmtId="49" fontId="11" fillId="39" borderId="10" xfId="0" applyNumberFormat="1" applyFont="1" applyFill="1" applyBorder="1" applyAlignment="1">
      <alignment horizontal="left" vertical="center" wrapText="1"/>
    </xf>
    <xf numFmtId="171" fontId="11" fillId="39" borderId="10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vertical="top" wrapText="1"/>
    </xf>
    <xf numFmtId="49" fontId="17" fillId="39" borderId="10" xfId="0" applyNumberFormat="1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 wrapText="1"/>
    </xf>
    <xf numFmtId="171" fontId="17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7" fillId="0" borderId="10" xfId="0" applyNumberFormat="1" applyFont="1" applyBorder="1" applyAlignment="1">
      <alignment horizontal="left" vertical="center" wrapText="1"/>
    </xf>
    <xf numFmtId="0" fontId="16" fillId="37" borderId="10" xfId="0" applyNumberFormat="1" applyFont="1" applyFill="1" applyBorder="1" applyAlignment="1">
      <alignment horizontal="left" vertical="center"/>
    </xf>
    <xf numFmtId="0" fontId="16" fillId="37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171" fontId="11" fillId="37" borderId="10" xfId="60" applyNumberFormat="1" applyFont="1" applyFill="1" applyBorder="1" applyAlignment="1">
      <alignment horizontal="right" vertical="center"/>
    </xf>
    <xf numFmtId="171" fontId="29" fillId="38" borderId="10" xfId="60" applyNumberFormat="1" applyFont="1" applyFill="1" applyBorder="1" applyAlignment="1">
      <alignment horizontal="right" vertical="top"/>
    </xf>
    <xf numFmtId="171" fontId="16" fillId="37" borderId="10" xfId="0" applyNumberFormat="1" applyFont="1" applyFill="1" applyBorder="1" applyAlignment="1">
      <alignment horizontal="left" vertical="center" wrapText="1"/>
    </xf>
    <xf numFmtId="171" fontId="11" fillId="37" borderId="10" xfId="0" applyNumberFormat="1" applyFont="1" applyFill="1" applyBorder="1" applyAlignment="1">
      <alignment horizontal="center" vertical="center" wrapText="1"/>
    </xf>
    <xf numFmtId="171" fontId="16" fillId="38" borderId="10" xfId="0" applyNumberFormat="1" applyFont="1" applyFill="1" applyBorder="1" applyAlignment="1">
      <alignment horizontal="left" vertical="top" wrapText="1"/>
    </xf>
    <xf numFmtId="49" fontId="16" fillId="38" borderId="10" xfId="0" applyNumberFormat="1" applyFont="1" applyFill="1" applyBorder="1" applyAlignment="1">
      <alignment horizontal="left" vertical="top" wrapText="1"/>
    </xf>
    <xf numFmtId="171" fontId="11" fillId="38" borderId="10" xfId="0" applyNumberFormat="1" applyFont="1" applyFill="1" applyBorder="1" applyAlignment="1">
      <alignment horizontal="center" vertical="top" wrapText="1"/>
    </xf>
    <xf numFmtId="171" fontId="16" fillId="38" borderId="10" xfId="60" applyNumberFormat="1" applyFont="1" applyFill="1" applyBorder="1" applyAlignment="1">
      <alignment horizontal="center" vertical="top" wrapText="1"/>
    </xf>
    <xf numFmtId="171" fontId="11" fillId="0" borderId="10" xfId="6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171" fontId="11" fillId="39" borderId="10" xfId="60" applyNumberFormat="1" applyFont="1" applyFill="1" applyBorder="1" applyAlignment="1">
      <alignment horizontal="center" vertical="top" wrapText="1"/>
    </xf>
    <xf numFmtId="171" fontId="11" fillId="0" borderId="10" xfId="60" applyNumberFormat="1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left" vertical="center" wrapText="1"/>
    </xf>
    <xf numFmtId="171" fontId="16" fillId="36" borderId="10" xfId="60" applyNumberFormat="1" applyFont="1" applyFill="1" applyBorder="1" applyAlignment="1">
      <alignment horizontal="center" vertical="top" wrapText="1"/>
    </xf>
    <xf numFmtId="171" fontId="16" fillId="37" borderId="10" xfId="6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171" fontId="11" fillId="0" borderId="10" xfId="60" applyNumberFormat="1" applyFont="1" applyBorder="1" applyAlignment="1">
      <alignment horizontal="right" vertical="top"/>
    </xf>
    <xf numFmtId="171" fontId="11" fillId="0" borderId="10" xfId="60" applyNumberFormat="1" applyFont="1" applyBorder="1" applyAlignment="1">
      <alignment horizontal="center" vertical="top"/>
    </xf>
    <xf numFmtId="171" fontId="11" fillId="0" borderId="10" xfId="60" applyNumberFormat="1" applyFont="1" applyFill="1" applyBorder="1" applyAlignment="1">
      <alignment horizontal="center" vertical="top"/>
    </xf>
    <xf numFmtId="171" fontId="30" fillId="0" borderId="10" xfId="60" applyNumberFormat="1" applyFont="1" applyBorder="1" applyAlignment="1">
      <alignment horizontal="center" vertical="top"/>
    </xf>
    <xf numFmtId="171" fontId="24" fillId="38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171" fontId="11" fillId="0" borderId="10" xfId="60" applyNumberFormat="1" applyFont="1" applyFill="1" applyBorder="1" applyAlignment="1">
      <alignment horizontal="right" vertical="top"/>
    </xf>
    <xf numFmtId="173" fontId="11" fillId="0" borderId="10" xfId="60" applyNumberFormat="1" applyFont="1" applyBorder="1" applyAlignment="1">
      <alignment vertical="top"/>
    </xf>
    <xf numFmtId="173" fontId="18" fillId="0" borderId="10" xfId="60" applyNumberFormat="1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71" fontId="11" fillId="0" borderId="10" xfId="60" applyNumberFormat="1" applyFont="1" applyBorder="1" applyAlignment="1">
      <alignment horizontal="right" vertical="top" wrapText="1"/>
    </xf>
    <xf numFmtId="171" fontId="16" fillId="36" borderId="10" xfId="0" applyNumberFormat="1" applyFont="1" applyFill="1" applyBorder="1" applyAlignment="1">
      <alignment horizontal="center" vertical="center" wrapText="1"/>
    </xf>
    <xf numFmtId="171" fontId="11" fillId="37" borderId="10" xfId="60" applyNumberFormat="1" applyFont="1" applyFill="1" applyBorder="1" applyAlignment="1">
      <alignment horizontal="right" vertical="center" wrapText="1"/>
    </xf>
    <xf numFmtId="171" fontId="23" fillId="38" borderId="10" xfId="60" applyNumberFormat="1" applyFont="1" applyFill="1" applyBorder="1" applyAlignment="1">
      <alignment horizontal="right" vertical="top" wrapText="1"/>
    </xf>
    <xf numFmtId="171" fontId="23" fillId="38" borderId="10" xfId="0" applyNumberFormat="1" applyFont="1" applyFill="1" applyBorder="1" applyAlignment="1">
      <alignment horizontal="center" vertical="top" wrapText="1"/>
    </xf>
    <xf numFmtId="171" fontId="23" fillId="38" borderId="10" xfId="0" applyNumberFormat="1" applyFont="1" applyFill="1" applyBorder="1" applyAlignment="1">
      <alignment vertical="top" wrapText="1"/>
    </xf>
    <xf numFmtId="171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71" fontId="24" fillId="0" borderId="10" xfId="0" applyNumberFormat="1" applyFont="1" applyFill="1" applyBorder="1" applyAlignment="1">
      <alignment horizontal="left" vertical="top" wrapText="1"/>
    </xf>
    <xf numFmtId="171" fontId="24" fillId="0" borderId="10" xfId="0" applyNumberFormat="1" applyFont="1" applyFill="1" applyBorder="1" applyAlignment="1">
      <alignment vertical="top" wrapText="1"/>
    </xf>
    <xf numFmtId="171" fontId="24" fillId="39" borderId="10" xfId="0" applyNumberFormat="1" applyFont="1" applyFill="1" applyBorder="1" applyAlignment="1">
      <alignment horizontal="center" vertical="top" wrapText="1"/>
    </xf>
    <xf numFmtId="49" fontId="24" fillId="39" borderId="10" xfId="0" applyNumberFormat="1" applyFont="1" applyFill="1" applyBorder="1" applyAlignment="1">
      <alignment horizontal="center" vertical="top" wrapText="1"/>
    </xf>
    <xf numFmtId="171" fontId="24" fillId="39" borderId="10" xfId="0" applyNumberFormat="1" applyFont="1" applyFill="1" applyBorder="1" applyAlignment="1">
      <alignment vertical="top" wrapText="1"/>
    </xf>
    <xf numFmtId="170" fontId="24" fillId="39" borderId="10" xfId="0" applyNumberFormat="1" applyFont="1" applyFill="1" applyBorder="1" applyAlignment="1">
      <alignment vertical="top" wrapText="1"/>
    </xf>
    <xf numFmtId="171" fontId="11" fillId="6" borderId="10" xfId="6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1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1" fontId="11" fillId="0" borderId="10" xfId="60" applyNumberFormat="1" applyFont="1" applyFill="1" applyBorder="1" applyAlignment="1">
      <alignment horizontal="right" vertical="top" wrapText="1"/>
    </xf>
    <xf numFmtId="171" fontId="27" fillId="0" borderId="10" xfId="0" applyNumberFormat="1" applyFont="1" applyFill="1" applyBorder="1" applyAlignment="1">
      <alignment horizontal="left" vertical="top" wrapText="1"/>
    </xf>
    <xf numFmtId="171" fontId="16" fillId="0" borderId="10" xfId="60" applyNumberFormat="1" applyFont="1" applyFill="1" applyBorder="1" applyAlignment="1">
      <alignment horizontal="center" vertical="top" wrapText="1"/>
    </xf>
    <xf numFmtId="171" fontId="11" fillId="37" borderId="10" xfId="0" applyNumberFormat="1" applyFont="1" applyFill="1" applyBorder="1" applyAlignment="1">
      <alignment horizontal="left" vertical="top" wrapText="1"/>
    </xf>
    <xf numFmtId="171" fontId="24" fillId="38" borderId="10" xfId="60" applyNumberFormat="1" applyFont="1" applyFill="1" applyBorder="1" applyAlignment="1">
      <alignment horizontal="center" vertical="top" wrapText="1"/>
    </xf>
    <xf numFmtId="0" fontId="11" fillId="39" borderId="10" xfId="0" applyNumberFormat="1" applyFont="1" applyFill="1" applyBorder="1" applyAlignment="1" applyProtection="1">
      <alignment horizontal="left" vertical="top" wrapText="1" shrinkToFit="1"/>
      <protection locked="0"/>
    </xf>
    <xf numFmtId="171" fontId="29" fillId="0" borderId="10" xfId="60" applyNumberFormat="1" applyFont="1" applyFill="1" applyBorder="1" applyAlignment="1">
      <alignment horizontal="right" vertical="top" wrapText="1"/>
    </xf>
    <xf numFmtId="171" fontId="16" fillId="36" borderId="10" xfId="62" applyNumberFormat="1" applyFont="1" applyFill="1" applyBorder="1" applyAlignment="1">
      <alignment horizontal="center" vertical="top" wrapText="1"/>
    </xf>
    <xf numFmtId="171" fontId="16" fillId="36" borderId="10" xfId="60" applyNumberFormat="1" applyFont="1" applyFill="1" applyBorder="1" applyAlignment="1">
      <alignment horizontal="center" vertical="center" wrapText="1"/>
    </xf>
    <xf numFmtId="171" fontId="23" fillId="38" borderId="10" xfId="0" applyNumberFormat="1" applyFont="1" applyFill="1" applyBorder="1" applyAlignment="1">
      <alignment horizontal="left" vertical="top" wrapText="1"/>
    </xf>
    <xf numFmtId="171" fontId="77" fillId="0" borderId="10" xfId="60" applyNumberFormat="1" applyFont="1" applyFill="1" applyBorder="1" applyAlignment="1">
      <alignment horizontal="center" vertical="top"/>
    </xf>
    <xf numFmtId="171" fontId="16" fillId="37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71" fontId="16" fillId="0" borderId="10" xfId="0" applyNumberFormat="1" applyFont="1" applyFill="1" applyBorder="1" applyAlignment="1">
      <alignment horizontal="center" vertical="center" wrapText="1"/>
    </xf>
    <xf numFmtId="171" fontId="24" fillId="39" borderId="10" xfId="60" applyNumberFormat="1" applyFont="1" applyFill="1" applyBorder="1" applyAlignment="1">
      <alignment horizontal="right" vertical="top" wrapText="1"/>
    </xf>
    <xf numFmtId="171" fontId="23" fillId="39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39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justify" wrapText="1"/>
    </xf>
    <xf numFmtId="171" fontId="11" fillId="39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171" fontId="24" fillId="0" borderId="10" xfId="60" applyNumberFormat="1" applyFont="1" applyFill="1" applyBorder="1" applyAlignment="1">
      <alignment horizontal="right" vertical="center" wrapText="1"/>
    </xf>
    <xf numFmtId="171" fontId="11" fillId="0" borderId="10" xfId="0" applyNumberFormat="1" applyFont="1" applyFill="1" applyBorder="1" applyAlignment="1">
      <alignment horizontal="center" vertical="center" wrapText="1"/>
    </xf>
    <xf numFmtId="49" fontId="27" fillId="11" borderId="10" xfId="0" applyNumberFormat="1" applyFont="1" applyFill="1" applyBorder="1" applyAlignment="1">
      <alignment horizontal="center" vertical="top" wrapText="1"/>
    </xf>
    <xf numFmtId="171" fontId="16" fillId="11" borderId="10" xfId="60" applyNumberFormat="1" applyFont="1" applyFill="1" applyBorder="1" applyAlignment="1">
      <alignment horizontal="center" vertical="top" wrapText="1"/>
    </xf>
    <xf numFmtId="164" fontId="17" fillId="0" borderId="10" xfId="0" applyNumberFormat="1" applyFont="1" applyBorder="1" applyAlignment="1">
      <alignment horizontal="left" vertical="center" wrapText="1"/>
    </xf>
    <xf numFmtId="173" fontId="33" fillId="38" borderId="10" xfId="60" applyNumberFormat="1" applyFont="1" applyFill="1" applyBorder="1" applyAlignment="1">
      <alignment horizontal="center" vertical="center" wrapText="1"/>
    </xf>
    <xf numFmtId="171" fontId="11" fillId="0" borderId="0" xfId="0" applyNumberFormat="1" applyFont="1" applyBorder="1" applyAlignment="1">
      <alignment horizontal="center"/>
    </xf>
    <xf numFmtId="173" fontId="11" fillId="0" borderId="0" xfId="6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3" fontId="8" fillId="0" borderId="0" xfId="60" applyNumberFormat="1" applyFont="1" applyBorder="1" applyAlignment="1">
      <alignment horizontal="center"/>
    </xf>
    <xf numFmtId="173" fontId="10" fillId="0" borderId="0" xfId="6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78" fontId="11" fillId="0" borderId="0" xfId="0" applyNumberFormat="1" applyFont="1" applyBorder="1" applyAlignment="1">
      <alignment horizontal="center"/>
    </xf>
    <xf numFmtId="173" fontId="11" fillId="39" borderId="0" xfId="6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71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73" fontId="16" fillId="0" borderId="0" xfId="60" applyNumberFormat="1" applyFont="1" applyBorder="1" applyAlignment="1">
      <alignment horizontal="center"/>
    </xf>
    <xf numFmtId="173" fontId="4" fillId="0" borderId="0" xfId="6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24" fillId="39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center" wrapText="1"/>
    </xf>
    <xf numFmtId="171" fontId="16" fillId="0" borderId="10" xfId="0" applyNumberFormat="1" applyFont="1" applyFill="1" applyBorder="1" applyAlignment="1">
      <alignment horizontal="left" vertical="top" wrapText="1"/>
    </xf>
    <xf numFmtId="171" fontId="11" fillId="0" borderId="10" xfId="0" applyNumberFormat="1" applyFont="1" applyFill="1" applyBorder="1" applyAlignment="1">
      <alignment horizontal="center" vertical="top" wrapText="1"/>
    </xf>
    <xf numFmtId="0" fontId="78" fillId="0" borderId="10" xfId="0" applyFont="1" applyBorder="1" applyAlignment="1">
      <alignment wrapText="1"/>
    </xf>
    <xf numFmtId="0" fontId="11" fillId="39" borderId="10" xfId="0" applyNumberFormat="1" applyFont="1" applyFill="1" applyBorder="1" applyAlignment="1" applyProtection="1">
      <alignment horizontal="left" wrapText="1" shrinkToFit="1"/>
      <protection locked="0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170" fontId="11" fillId="0" borderId="10" xfId="0" applyNumberFormat="1" applyFont="1" applyBorder="1" applyAlignment="1">
      <alignment vertical="top"/>
    </xf>
    <xf numFmtId="2" fontId="16" fillId="38" borderId="10" xfId="6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 vertical="top"/>
    </xf>
    <xf numFmtId="171" fontId="35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4" fontId="37" fillId="36" borderId="10" xfId="0" applyNumberFormat="1" applyFont="1" applyFill="1" applyBorder="1" applyAlignment="1">
      <alignment horizontal="center" vertical="top" wrapText="1"/>
    </xf>
    <xf numFmtId="14" fontId="17" fillId="37" borderId="10" xfId="0" applyNumberFormat="1" applyFont="1" applyFill="1" applyBorder="1" applyAlignment="1">
      <alignment horizontal="center" vertical="center" wrapText="1"/>
    </xf>
    <xf numFmtId="14" fontId="38" fillId="38" borderId="10" xfId="0" applyNumberFormat="1" applyFont="1" applyFill="1" applyBorder="1" applyAlignment="1">
      <alignment horizontal="center" vertical="top" wrapText="1"/>
    </xf>
    <xf numFmtId="171" fontId="17" fillId="0" borderId="10" xfId="0" applyNumberFormat="1" applyFont="1" applyFill="1" applyBorder="1" applyAlignment="1">
      <alignment horizontal="left" vertical="top" wrapText="1"/>
    </xf>
    <xf numFmtId="171" fontId="32" fillId="38" borderId="10" xfId="0" applyNumberFormat="1" applyFont="1" applyFill="1" applyBorder="1" applyAlignment="1">
      <alignment vertical="center" wrapText="1"/>
    </xf>
    <xf numFmtId="171" fontId="17" fillId="39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71" fontId="17" fillId="39" borderId="10" xfId="0" applyNumberFormat="1" applyFont="1" applyFill="1" applyBorder="1" applyAlignment="1">
      <alignment horizontal="left" vertical="center" wrapText="1"/>
    </xf>
    <xf numFmtId="49" fontId="17" fillId="37" borderId="10" xfId="0" applyNumberFormat="1" applyFont="1" applyFill="1" applyBorder="1" applyAlignment="1">
      <alignment horizontal="center" vertical="center"/>
    </xf>
    <xf numFmtId="171" fontId="17" fillId="39" borderId="10" xfId="0" applyNumberFormat="1" applyFont="1" applyFill="1" applyBorder="1" applyAlignment="1">
      <alignment horizontal="left" vertical="top" wrapText="1"/>
    </xf>
    <xf numFmtId="171" fontId="17" fillId="37" borderId="10" xfId="0" applyNumberFormat="1" applyFont="1" applyFill="1" applyBorder="1" applyAlignment="1">
      <alignment horizontal="center" vertical="center" wrapText="1"/>
    </xf>
    <xf numFmtId="171" fontId="17" fillId="38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171" fontId="17" fillId="36" borderId="10" xfId="0" applyNumberFormat="1" applyFont="1" applyFill="1" applyBorder="1" applyAlignment="1">
      <alignment horizontal="left" vertical="top" wrapText="1"/>
    </xf>
    <xf numFmtId="171" fontId="17" fillId="36" borderId="10" xfId="0" applyNumberFormat="1" applyFont="1" applyFill="1" applyBorder="1" applyAlignment="1">
      <alignment horizontal="center" vertical="center" wrapText="1"/>
    </xf>
    <xf numFmtId="171" fontId="38" fillId="38" borderId="10" xfId="0" applyNumberFormat="1" applyFont="1" applyFill="1" applyBorder="1" applyAlignment="1">
      <alignment horizontal="center" vertical="top" wrapText="1"/>
    </xf>
    <xf numFmtId="0" fontId="32" fillId="0" borderId="10" xfId="0" applyNumberFormat="1" applyFont="1" applyFill="1" applyBorder="1" applyAlignment="1">
      <alignment horizontal="left" vertical="center" wrapText="1"/>
    </xf>
    <xf numFmtId="14" fontId="17" fillId="39" borderId="10" xfId="0" applyNumberFormat="1" applyFont="1" applyFill="1" applyBorder="1" applyAlignment="1" applyProtection="1">
      <alignment horizontal="left" vertical="top" wrapText="1" shrinkToFit="1"/>
      <protection locked="0"/>
    </xf>
    <xf numFmtId="171" fontId="17" fillId="39" borderId="10" xfId="0" applyNumberFormat="1" applyFont="1" applyFill="1" applyBorder="1" applyAlignment="1">
      <alignment horizontal="center" vertical="top" wrapText="1"/>
    </xf>
    <xf numFmtId="171" fontId="17" fillId="39" borderId="10" xfId="0" applyNumberFormat="1" applyFont="1" applyFill="1" applyBorder="1" applyAlignment="1">
      <alignment vertical="top" wrapText="1"/>
    </xf>
    <xf numFmtId="171" fontId="39" fillId="11" borderId="10" xfId="0" applyNumberFormat="1" applyFont="1" applyFill="1" applyBorder="1" applyAlignment="1">
      <alignment horizontal="left" vertical="top" wrapText="1"/>
    </xf>
    <xf numFmtId="171" fontId="17" fillId="0" borderId="10" xfId="0" applyNumberFormat="1" applyFont="1" applyFill="1" applyBorder="1" applyAlignment="1">
      <alignment horizontal="center" vertical="top" wrapText="1"/>
    </xf>
    <xf numFmtId="171" fontId="17" fillId="0" borderId="10" xfId="0" applyNumberFormat="1" applyFont="1" applyFill="1" applyBorder="1" applyAlignment="1">
      <alignment horizontal="center" vertical="center" wrapText="1"/>
    </xf>
    <xf numFmtId="171" fontId="17" fillId="11" borderId="1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32" fillId="0" borderId="0" xfId="0" applyFont="1" applyBorder="1" applyAlignment="1">
      <alignment/>
    </xf>
    <xf numFmtId="14" fontId="1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73" fontId="32" fillId="0" borderId="0" xfId="60" applyNumberFormat="1" applyFont="1" applyBorder="1" applyAlignment="1">
      <alignment horizontal="center"/>
    </xf>
    <xf numFmtId="170" fontId="1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1" fillId="0" borderId="10" xfId="0" applyFont="1" applyFill="1" applyBorder="1" applyAlignment="1">
      <alignment vertical="top" wrapText="1"/>
    </xf>
    <xf numFmtId="171" fontId="35" fillId="0" borderId="10" xfId="0" applyNumberFormat="1" applyFont="1" applyBorder="1" applyAlignment="1">
      <alignment horizontal="left" vertical="top" wrapText="1"/>
    </xf>
    <xf numFmtId="171" fontId="36" fillId="0" borderId="10" xfId="0" applyNumberFormat="1" applyFont="1" applyFill="1" applyBorder="1" applyAlignment="1">
      <alignment horizontal="left" vertical="top" wrapText="1"/>
    </xf>
    <xf numFmtId="171" fontId="35" fillId="0" borderId="10" xfId="0" applyNumberFormat="1" applyFont="1" applyFill="1" applyBorder="1" applyAlignment="1">
      <alignment horizontal="center" vertical="center" wrapText="1"/>
    </xf>
    <xf numFmtId="0" fontId="11" fillId="39" borderId="10" xfId="0" applyNumberFormat="1" applyFont="1" applyFill="1" applyBorder="1" applyAlignment="1" applyProtection="1">
      <alignment horizontal="left" vertical="center" wrapText="1" shrinkToFit="1"/>
      <protection locked="0"/>
    </xf>
    <xf numFmtId="171" fontId="11" fillId="0" borderId="10" xfId="6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1" fontId="11" fillId="39" borderId="10" xfId="0" applyNumberFormat="1" applyFont="1" applyFill="1" applyBorder="1" applyAlignment="1">
      <alignment horizontal="left" vertical="top" wrapText="1"/>
    </xf>
    <xf numFmtId="171" fontId="24" fillId="0" borderId="10" xfId="60" applyNumberFormat="1" applyFont="1" applyFill="1" applyBorder="1" applyAlignment="1">
      <alignment horizontal="right" vertical="top" wrapText="1"/>
    </xf>
    <xf numFmtId="171" fontId="35" fillId="0" borderId="10" xfId="60" applyNumberFormat="1" applyFont="1" applyFill="1" applyBorder="1" applyAlignment="1">
      <alignment horizontal="center" vertical="top" wrapText="1"/>
    </xf>
    <xf numFmtId="171" fontId="33" fillId="38" borderId="10" xfId="60" applyNumberFormat="1" applyFont="1" applyFill="1" applyBorder="1" applyAlignment="1">
      <alignment horizontal="center" vertical="top" wrapText="1"/>
    </xf>
    <xf numFmtId="171" fontId="27" fillId="11" borderId="1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top" wrapText="1"/>
    </xf>
    <xf numFmtId="0" fontId="11" fillId="35" borderId="10" xfId="0" applyNumberFormat="1" applyFont="1" applyFill="1" applyBorder="1" applyAlignment="1">
      <alignment horizontal="center" vertical="center" wrapText="1"/>
    </xf>
    <xf numFmtId="181" fontId="11" fillId="35" borderId="10" xfId="0" applyNumberFormat="1" applyFont="1" applyFill="1" applyBorder="1" applyAlignment="1">
      <alignment horizontal="center" vertical="center" wrapText="1"/>
    </xf>
    <xf numFmtId="3" fontId="11" fillId="35" borderId="10" xfId="60" applyNumberFormat="1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60" applyNumberFormat="1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left" vertical="center" wrapText="1"/>
    </xf>
    <xf numFmtId="171" fontId="16" fillId="38" borderId="10" xfId="0" applyNumberFormat="1" applyFont="1" applyFill="1" applyBorder="1" applyAlignment="1">
      <alignment horizontal="left" vertical="top" wrapText="1"/>
    </xf>
    <xf numFmtId="171" fontId="27" fillId="11" borderId="10" xfId="0" applyNumberFormat="1" applyFont="1" applyFill="1" applyBorder="1" applyAlignment="1">
      <alignment horizontal="left" vertical="top" wrapText="1"/>
    </xf>
    <xf numFmtId="181" fontId="17" fillId="35" borderId="10" xfId="0" applyNumberFormat="1" applyFont="1" applyFill="1" applyBorder="1" applyAlignment="1">
      <alignment horizontal="center" vertical="center" wrapText="1"/>
    </xf>
    <xf numFmtId="0" fontId="23" fillId="38" borderId="10" xfId="0" applyNumberFormat="1" applyFont="1" applyFill="1" applyBorder="1" applyAlignment="1">
      <alignment horizontal="left" vertical="top" wrapText="1"/>
    </xf>
    <xf numFmtId="171" fontId="23" fillId="38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18" fillId="34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8" fontId="34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1" fontId="0" fillId="36" borderId="0" xfId="0" applyNumberFormat="1" applyFill="1" applyBorder="1" applyAlignment="1">
      <alignment/>
    </xf>
    <xf numFmtId="170" fontId="76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3" fontId="6" fillId="0" borderId="0" xfId="60" applyFont="1" applyBorder="1" applyAlignment="1">
      <alignment/>
    </xf>
    <xf numFmtId="43" fontId="6" fillId="0" borderId="0" xfId="0" applyNumberFormat="1" applyFont="1" applyBorder="1" applyAlignment="1">
      <alignment/>
    </xf>
    <xf numFmtId="170" fontId="18" fillId="33" borderId="0" xfId="0" applyNumberFormat="1" applyFont="1" applyFill="1" applyBorder="1" applyAlignment="1">
      <alignment/>
    </xf>
    <xf numFmtId="170" fontId="79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2" fontId="19" fillId="40" borderId="0" xfId="0" applyNumberFormat="1" applyFont="1" applyFill="1" applyBorder="1" applyAlignment="1">
      <alignment/>
    </xf>
    <xf numFmtId="170" fontId="19" fillId="41" borderId="0" xfId="0" applyNumberFormat="1" applyFont="1" applyFill="1" applyBorder="1" applyAlignment="1">
      <alignment/>
    </xf>
    <xf numFmtId="2" fontId="19" fillId="42" borderId="0" xfId="0" applyNumberFormat="1" applyFont="1" applyFill="1" applyBorder="1" applyAlignment="1">
      <alignment/>
    </xf>
    <xf numFmtId="170" fontId="76" fillId="43" borderId="0" xfId="0" applyNumberFormat="1" applyFont="1" applyFill="1" applyBorder="1" applyAlignment="1">
      <alignment/>
    </xf>
    <xf numFmtId="2" fontId="79" fillId="42" borderId="0" xfId="0" applyNumberFormat="1" applyFont="1" applyFill="1" applyBorder="1" applyAlignment="1">
      <alignment/>
    </xf>
    <xf numFmtId="170" fontId="19" fillId="44" borderId="0" xfId="0" applyNumberFormat="1" applyFont="1" applyFill="1" applyBorder="1" applyAlignment="1">
      <alignment/>
    </xf>
    <xf numFmtId="170" fontId="19" fillId="33" borderId="0" xfId="0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/>
    </xf>
    <xf numFmtId="170" fontId="79" fillId="43" borderId="0" xfId="0" applyNumberFormat="1" applyFont="1" applyFill="1" applyBorder="1" applyAlignment="1">
      <alignment/>
    </xf>
    <xf numFmtId="170" fontId="18" fillId="45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70" fontId="7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3" fontId="6" fillId="0" borderId="0" xfId="6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170" fontId="18" fillId="46" borderId="0" xfId="0" applyNumberFormat="1" applyFont="1" applyFill="1" applyBorder="1" applyAlignment="1">
      <alignment/>
    </xf>
    <xf numFmtId="49" fontId="18" fillId="0" borderId="0" xfId="0" applyNumberFormat="1" applyFont="1" applyBorder="1" applyAlignment="1">
      <alignment/>
    </xf>
    <xf numFmtId="170" fontId="18" fillId="47" borderId="0" xfId="0" applyNumberFormat="1" applyFont="1" applyFill="1" applyBorder="1" applyAlignment="1">
      <alignment/>
    </xf>
    <xf numFmtId="170" fontId="18" fillId="43" borderId="0" xfId="0" applyNumberFormat="1" applyFont="1" applyFill="1" applyBorder="1" applyAlignment="1">
      <alignment/>
    </xf>
    <xf numFmtId="2" fontId="19" fillId="48" borderId="0" xfId="0" applyNumberFormat="1" applyFont="1" applyFill="1" applyBorder="1" applyAlignment="1">
      <alignment/>
    </xf>
    <xf numFmtId="1" fontId="19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170" fontId="79" fillId="44" borderId="0" xfId="0" applyNumberFormat="1" applyFont="1" applyFill="1" applyBorder="1" applyAlignment="1">
      <alignment/>
    </xf>
    <xf numFmtId="0" fontId="26" fillId="39" borderId="0" xfId="0" applyFont="1" applyFill="1" applyBorder="1" applyAlignment="1">
      <alignment/>
    </xf>
    <xf numFmtId="43" fontId="6" fillId="0" borderId="0" xfId="60" applyFont="1" applyBorder="1" applyAlignment="1">
      <alignment/>
    </xf>
    <xf numFmtId="43" fontId="6" fillId="0" borderId="0" xfId="0" applyNumberFormat="1" applyFont="1" applyBorder="1" applyAlignment="1">
      <alignment/>
    </xf>
    <xf numFmtId="170" fontId="18" fillId="44" borderId="0" xfId="0" applyNumberFormat="1" applyFont="1" applyFill="1" applyBorder="1" applyAlignment="1">
      <alignment/>
    </xf>
    <xf numFmtId="170" fontId="18" fillId="48" borderId="0" xfId="0" applyNumberFormat="1" applyFont="1" applyFill="1" applyBorder="1" applyAlignment="1">
      <alignment/>
    </xf>
    <xf numFmtId="170" fontId="18" fillId="49" borderId="0" xfId="0" applyNumberFormat="1" applyFont="1" applyFill="1" applyBorder="1" applyAlignment="1">
      <alignment/>
    </xf>
    <xf numFmtId="170" fontId="18" fillId="40" borderId="0" xfId="0" applyNumberFormat="1" applyFont="1" applyFill="1" applyBorder="1" applyAlignment="1">
      <alignment/>
    </xf>
    <xf numFmtId="170" fontId="76" fillId="44" borderId="0" xfId="0" applyNumberFormat="1" applyFont="1" applyFill="1" applyBorder="1" applyAlignment="1">
      <alignment/>
    </xf>
    <xf numFmtId="170" fontId="18" fillId="50" borderId="0" xfId="0" applyNumberFormat="1" applyFont="1" applyFill="1" applyBorder="1" applyAlignment="1">
      <alignment/>
    </xf>
    <xf numFmtId="170" fontId="76" fillId="40" borderId="0" xfId="0" applyNumberFormat="1" applyFont="1" applyFill="1" applyBorder="1" applyAlignment="1">
      <alignment/>
    </xf>
    <xf numFmtId="170" fontId="0" fillId="34" borderId="0" xfId="0" applyNumberFormat="1" applyFill="1" applyBorder="1" applyAlignment="1">
      <alignment/>
    </xf>
    <xf numFmtId="43" fontId="6" fillId="0" borderId="0" xfId="6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0" fontId="19" fillId="40" borderId="0" xfId="0" applyNumberFormat="1" applyFont="1" applyFill="1" applyBorder="1" applyAlignment="1">
      <alignment/>
    </xf>
    <xf numFmtId="170" fontId="76" fillId="42" borderId="0" xfId="0" applyNumberFormat="1" applyFont="1" applyFill="1" applyBorder="1" applyAlignment="1">
      <alignment/>
    </xf>
    <xf numFmtId="171" fontId="31" fillId="36" borderId="0" xfId="0" applyNumberFormat="1" applyFont="1" applyFill="1" applyBorder="1" applyAlignment="1">
      <alignment/>
    </xf>
    <xf numFmtId="170" fontId="19" fillId="43" borderId="0" xfId="0" applyNumberFormat="1" applyFont="1" applyFill="1" applyBorder="1" applyAlignment="1">
      <alignment/>
    </xf>
    <xf numFmtId="43" fontId="0" fillId="0" borderId="0" xfId="60" applyFont="1" applyBorder="1" applyAlignment="1">
      <alignment/>
    </xf>
    <xf numFmtId="2" fontId="79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18" fillId="0" borderId="0" xfId="0" applyNumberFormat="1" applyFont="1" applyBorder="1" applyAlignment="1">
      <alignment/>
    </xf>
    <xf numFmtId="170" fontId="18" fillId="51" borderId="0" xfId="0" applyNumberFormat="1" applyFont="1" applyFill="1" applyBorder="1" applyAlignment="1">
      <alignment/>
    </xf>
    <xf numFmtId="170" fontId="18" fillId="39" borderId="0" xfId="0" applyNumberFormat="1" applyFont="1" applyFill="1" applyBorder="1" applyAlignment="1">
      <alignment/>
    </xf>
    <xf numFmtId="172" fontId="76" fillId="0" borderId="0" xfId="0" applyNumberFormat="1" applyFont="1" applyBorder="1" applyAlignment="1">
      <alignment/>
    </xf>
    <xf numFmtId="2" fontId="18" fillId="4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76" fillId="0" borderId="0" xfId="0" applyNumberFormat="1" applyFont="1" applyBorder="1" applyAlignment="1">
      <alignment/>
    </xf>
    <xf numFmtId="2" fontId="76" fillId="44" borderId="0" xfId="0" applyNumberFormat="1" applyFont="1" applyFill="1" applyBorder="1" applyAlignment="1">
      <alignment/>
    </xf>
    <xf numFmtId="170" fontId="74" fillId="0" borderId="0" xfId="0" applyNumberFormat="1" applyFont="1" applyBorder="1" applyAlignment="1">
      <alignment/>
    </xf>
    <xf numFmtId="0" fontId="25" fillId="0" borderId="0" xfId="0" applyFont="1" applyBorder="1" applyAlignment="1">
      <alignment vertical="center"/>
    </xf>
    <xf numFmtId="171" fontId="6" fillId="36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39" borderId="0" xfId="0" applyFill="1" applyBorder="1" applyAlignment="1">
      <alignment/>
    </xf>
    <xf numFmtId="49" fontId="25" fillId="0" borderId="10" xfId="0" applyNumberFormat="1" applyFont="1" applyBorder="1" applyAlignment="1">
      <alignment horizontal="center" vertical="top"/>
    </xf>
    <xf numFmtId="180" fontId="25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 vertical="top"/>
    </xf>
    <xf numFmtId="0" fontId="25" fillId="0" borderId="10" xfId="0" applyFont="1" applyBorder="1" applyAlignment="1">
      <alignment horizontal="center" vertical="top"/>
    </xf>
    <xf numFmtId="14" fontId="17" fillId="0" borderId="10" xfId="0" applyNumberFormat="1" applyFont="1" applyBorder="1" applyAlignment="1">
      <alignment horizontal="center" vertical="top"/>
    </xf>
    <xf numFmtId="14" fontId="17" fillId="0" borderId="10" xfId="0" applyNumberFormat="1" applyFont="1" applyBorder="1" applyAlignment="1">
      <alignment horizontal="center" vertical="top" wrapText="1"/>
    </xf>
    <xf numFmtId="3" fontId="25" fillId="0" borderId="10" xfId="60" applyNumberFormat="1" applyFont="1" applyBorder="1" applyAlignment="1">
      <alignment horizontal="center" vertical="top"/>
    </xf>
    <xf numFmtId="49" fontId="11" fillId="35" borderId="10" xfId="0" applyNumberFormat="1" applyFont="1" applyFill="1" applyBorder="1" applyAlignment="1">
      <alignment horizontal="center" vertical="top" wrapText="1"/>
    </xf>
    <xf numFmtId="49" fontId="11" fillId="35" borderId="10" xfId="0" applyNumberFormat="1" applyFont="1" applyFill="1" applyBorder="1" applyAlignment="1">
      <alignment horizontal="center" vertical="top"/>
    </xf>
    <xf numFmtId="0" fontId="16" fillId="37" borderId="10" xfId="0" applyNumberFormat="1" applyFont="1" applyFill="1" applyBorder="1" applyAlignment="1">
      <alignment horizontal="center" vertical="center" wrapText="1"/>
    </xf>
    <xf numFmtId="0" fontId="23" fillId="38" borderId="10" xfId="0" applyNumberFormat="1" applyFont="1" applyFill="1" applyBorder="1" applyAlignment="1">
      <alignment horizontal="center" vertical="top" wrapText="1"/>
    </xf>
    <xf numFmtId="49" fontId="16" fillId="37" borderId="10" xfId="0" applyNumberFormat="1" applyFont="1" applyFill="1" applyBorder="1" applyAlignment="1">
      <alignment horizontal="left" vertical="center"/>
    </xf>
    <xf numFmtId="0" fontId="23" fillId="38" borderId="10" xfId="0" applyNumberFormat="1" applyFont="1" applyFill="1" applyBorder="1" applyAlignment="1">
      <alignment horizontal="left" vertical="top"/>
    </xf>
    <xf numFmtId="0" fontId="16" fillId="38" borderId="10" xfId="0" applyNumberFormat="1" applyFont="1" applyFill="1" applyBorder="1" applyAlignment="1">
      <alignment horizontal="left" vertical="top" wrapText="1"/>
    </xf>
    <xf numFmtId="0" fontId="16" fillId="38" borderId="10" xfId="0" applyNumberFormat="1" applyFont="1" applyFill="1" applyBorder="1" applyAlignment="1">
      <alignment horizontal="center" vertical="top" wrapText="1"/>
    </xf>
    <xf numFmtId="49" fontId="11" fillId="38" borderId="10" xfId="0" applyNumberFormat="1" applyFont="1" applyFill="1" applyBorder="1" applyAlignment="1">
      <alignment horizontal="center" vertical="top" wrapText="1"/>
    </xf>
    <xf numFmtId="0" fontId="29" fillId="38" borderId="10" xfId="0" applyFont="1" applyFill="1" applyBorder="1" applyAlignment="1">
      <alignment horizontal="center" vertical="top"/>
    </xf>
    <xf numFmtId="49" fontId="38" fillId="38" borderId="10" xfId="0" applyNumberFormat="1" applyFont="1" applyFill="1" applyBorder="1" applyAlignment="1">
      <alignment horizontal="center" vertical="top"/>
    </xf>
    <xf numFmtId="171" fontId="11" fillId="38" borderId="10" xfId="60" applyNumberFormat="1" applyFont="1" applyFill="1" applyBorder="1" applyAlignment="1">
      <alignment horizontal="right" vertical="top"/>
    </xf>
    <xf numFmtId="4" fontId="11" fillId="39" borderId="10" xfId="0" applyNumberFormat="1" applyFont="1" applyFill="1" applyBorder="1" applyAlignment="1">
      <alignment horizontal="left" vertical="center" wrapText="1"/>
    </xf>
    <xf numFmtId="171" fontId="16" fillId="37" borderId="10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vertical="center" wrapText="1"/>
    </xf>
    <xf numFmtId="171" fontId="17" fillId="0" borderId="10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 vertical="top" wrapText="1"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7" fillId="0" borderId="10" xfId="0" applyNumberFormat="1" applyFont="1" applyFill="1" applyBorder="1" applyAlignment="1">
      <alignment vertical="center" wrapText="1"/>
    </xf>
    <xf numFmtId="171" fontId="11" fillId="0" borderId="10" xfId="0" applyNumberFormat="1" applyFont="1" applyFill="1" applyBorder="1" applyAlignment="1">
      <alignment vertical="top" wrapText="1"/>
    </xf>
    <xf numFmtId="171" fontId="1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top"/>
    </xf>
    <xf numFmtId="49" fontId="11" fillId="39" borderId="10" xfId="0" applyNumberFormat="1" applyFont="1" applyFill="1" applyBorder="1" applyAlignment="1">
      <alignment horizontal="left" vertical="top"/>
    </xf>
    <xf numFmtId="0" fontId="16" fillId="0" borderId="10" xfId="0" applyNumberFormat="1" applyFont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left" vertical="top"/>
    </xf>
    <xf numFmtId="0" fontId="16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/>
    </xf>
    <xf numFmtId="171" fontId="11" fillId="6" borderId="10" xfId="0" applyNumberFormat="1" applyFont="1" applyFill="1" applyBorder="1" applyAlignment="1">
      <alignment horizontal="left" vertical="top" wrapText="1"/>
    </xf>
    <xf numFmtId="171" fontId="11" fillId="6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171" fontId="36" fillId="0" borderId="10" xfId="0" applyNumberFormat="1" applyFont="1" applyFill="1" applyBorder="1" applyAlignment="1">
      <alignment horizontal="center" vertical="center" wrapText="1"/>
    </xf>
    <xf numFmtId="0" fontId="16" fillId="37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49" fontId="3" fillId="0" borderId="10" xfId="0" applyNumberFormat="1" applyFont="1" applyBorder="1" applyAlignment="1">
      <alignment horizontal="center" vertical="top"/>
    </xf>
    <xf numFmtId="3" fontId="3" fillId="0" borderId="10" xfId="60" applyNumberFormat="1" applyFont="1" applyBorder="1" applyAlignment="1">
      <alignment horizontal="center" vertical="top"/>
    </xf>
    <xf numFmtId="3" fontId="11" fillId="0" borderId="10" xfId="6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16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табл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3;&#1102;&#1076;&#1078;&#1077;&#109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олномочия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01"/>
  <sheetViews>
    <sheetView tabSelected="1" zoomScalePageLayoutView="0" workbookViewId="0" topLeftCell="M1">
      <pane ySplit="7" topLeftCell="A8" activePane="bottomLeft" state="frozen"/>
      <selection pane="topLeft" activeCell="A1" sqref="A1"/>
      <selection pane="bottomLeft" activeCell="AM6" sqref="AM6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8.00390625" style="0" customWidth="1"/>
    <col min="4" max="4" width="7.8515625" style="0" customWidth="1"/>
    <col min="5" max="5" width="2.57421875" style="0" customWidth="1"/>
    <col min="6" max="6" width="2.8515625" style="0" customWidth="1"/>
    <col min="7" max="7" width="6.8515625" style="0" customWidth="1"/>
    <col min="8" max="8" width="3.57421875" style="0" customWidth="1"/>
    <col min="9" max="9" width="20.28125" style="0" customWidth="1"/>
    <col min="10" max="11" width="9.140625" style="236" customWidth="1"/>
    <col min="12" max="12" width="8.57421875" style="0" customWidth="1"/>
    <col min="13" max="13" width="1.28515625" style="0" customWidth="1"/>
    <col min="14" max="15" width="8.57421875" style="0" customWidth="1"/>
    <col min="16" max="16" width="7.00390625" style="0" customWidth="1"/>
    <col min="17" max="18" width="8.57421875" style="0" customWidth="1"/>
    <col min="19" max="19" width="6.7109375" style="0" customWidth="1"/>
    <col min="20" max="21" width="8.57421875" style="0" customWidth="1"/>
    <col min="22" max="22" width="6.8515625" style="0" customWidth="1"/>
    <col min="25" max="25" width="10.28125" style="0" bestFit="1" customWidth="1"/>
  </cols>
  <sheetData>
    <row r="1" spans="1:80" ht="26.25" customHeight="1">
      <c r="A1" s="251" t="s">
        <v>680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9.75" customHeight="1">
      <c r="A2" s="353"/>
      <c r="B2" s="354" t="s">
        <v>57</v>
      </c>
      <c r="C2" s="354"/>
      <c r="D2" s="354"/>
      <c r="E2" s="355"/>
      <c r="F2" s="355"/>
      <c r="G2" s="355"/>
      <c r="H2" s="355"/>
      <c r="I2" s="356"/>
      <c r="J2" s="357"/>
      <c r="K2" s="358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2.75">
      <c r="A3" s="256" t="s">
        <v>58</v>
      </c>
      <c r="B3" s="252" t="s">
        <v>59</v>
      </c>
      <c r="C3" s="252" t="s">
        <v>60</v>
      </c>
      <c r="D3" s="252" t="s">
        <v>61</v>
      </c>
      <c r="E3" s="360" t="s">
        <v>62</v>
      </c>
      <c r="F3" s="361"/>
      <c r="G3" s="361"/>
      <c r="H3" s="361"/>
      <c r="I3" s="253" t="s">
        <v>63</v>
      </c>
      <c r="J3" s="253" t="s">
        <v>64</v>
      </c>
      <c r="K3" s="253" t="s">
        <v>65</v>
      </c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ht="12.75">
      <c r="A4" s="256"/>
      <c r="B4" s="252"/>
      <c r="C4" s="252"/>
      <c r="D4" s="252"/>
      <c r="E4" s="256" t="s">
        <v>66</v>
      </c>
      <c r="F4" s="256" t="s">
        <v>67</v>
      </c>
      <c r="G4" s="256" t="s">
        <v>68</v>
      </c>
      <c r="H4" s="256" t="s">
        <v>69</v>
      </c>
      <c r="I4" s="253"/>
      <c r="J4" s="253"/>
      <c r="K4" s="253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2.75">
      <c r="A5" s="256"/>
      <c r="B5" s="252"/>
      <c r="C5" s="252"/>
      <c r="D5" s="252"/>
      <c r="E5" s="256"/>
      <c r="F5" s="256"/>
      <c r="G5" s="256"/>
      <c r="H5" s="256"/>
      <c r="I5" s="253"/>
      <c r="J5" s="253"/>
      <c r="K5" s="253"/>
      <c r="L5" s="254" t="s">
        <v>681</v>
      </c>
      <c r="M5" s="254"/>
      <c r="N5" s="254" t="s">
        <v>24</v>
      </c>
      <c r="O5" s="254"/>
      <c r="P5" s="254"/>
      <c r="Q5" s="254" t="s">
        <v>31</v>
      </c>
      <c r="R5" s="254"/>
      <c r="S5" s="254"/>
      <c r="T5" s="254" t="s">
        <v>47</v>
      </c>
      <c r="U5" s="254"/>
      <c r="V5" s="25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 ht="15">
      <c r="A6" s="256"/>
      <c r="B6" s="252"/>
      <c r="C6" s="252"/>
      <c r="D6" s="252"/>
      <c r="E6" s="256"/>
      <c r="F6" s="256"/>
      <c r="G6" s="256"/>
      <c r="H6" s="256"/>
      <c r="I6" s="253"/>
      <c r="J6" s="253"/>
      <c r="K6" s="253"/>
      <c r="L6" s="254"/>
      <c r="M6" s="254"/>
      <c r="N6" s="63" t="s">
        <v>70</v>
      </c>
      <c r="O6" s="64" t="s">
        <v>71</v>
      </c>
      <c r="P6" s="64" t="s">
        <v>72</v>
      </c>
      <c r="Q6" s="64" t="s">
        <v>70</v>
      </c>
      <c r="R6" s="64" t="s">
        <v>71</v>
      </c>
      <c r="S6" s="64" t="s">
        <v>72</v>
      </c>
      <c r="T6" s="64" t="s">
        <v>70</v>
      </c>
      <c r="U6" s="64" t="s">
        <v>71</v>
      </c>
      <c r="V6" s="64" t="s">
        <v>72</v>
      </c>
      <c r="W6" s="4"/>
      <c r="X6" s="4"/>
      <c r="Y6" s="4"/>
      <c r="Z6" s="4"/>
      <c r="AA6" s="4"/>
      <c r="AB6" s="4"/>
      <c r="AC6" s="4"/>
      <c r="AD6" s="4"/>
      <c r="AE6" s="4"/>
      <c r="AF6" s="265"/>
      <c r="AG6" s="17"/>
      <c r="AH6" s="17"/>
      <c r="AI6" s="265"/>
      <c r="AJ6" s="17"/>
      <c r="AK6" s="265"/>
      <c r="AL6" s="17"/>
      <c r="AM6" s="266"/>
      <c r="AN6" s="17"/>
      <c r="AO6" s="17"/>
      <c r="AP6" s="17"/>
      <c r="AQ6" s="17"/>
      <c r="AR6" s="17"/>
      <c r="AS6" s="17"/>
      <c r="AT6" s="17"/>
      <c r="AU6" s="267"/>
      <c r="AV6" s="17"/>
      <c r="AW6" s="17"/>
      <c r="AX6" s="17"/>
      <c r="AY6" s="265"/>
      <c r="AZ6" s="265"/>
      <c r="BA6" s="17"/>
      <c r="BB6" s="267"/>
      <c r="BC6" s="17"/>
      <c r="BD6" s="17"/>
      <c r="BE6" s="17"/>
      <c r="BF6" s="17"/>
      <c r="BG6" s="17"/>
      <c r="BH6" s="17"/>
      <c r="BI6" s="265"/>
      <c r="BJ6" s="265"/>
      <c r="BK6" s="265"/>
      <c r="BL6" s="265"/>
      <c r="BM6" s="265"/>
      <c r="BN6" s="265"/>
      <c r="BO6" s="17"/>
      <c r="BP6" s="265"/>
      <c r="BQ6" s="267"/>
      <c r="BR6" s="267"/>
      <c r="BS6" s="4"/>
      <c r="BT6" s="4"/>
      <c r="BU6" s="4"/>
      <c r="BV6" s="4"/>
      <c r="BW6" s="4"/>
      <c r="BX6" s="268"/>
      <c r="BY6" s="269"/>
      <c r="BZ6" s="269"/>
      <c r="CA6" s="269"/>
      <c r="CB6" s="269"/>
    </row>
    <row r="7" spans="1:80" ht="12.75">
      <c r="A7" s="62" t="s">
        <v>73</v>
      </c>
      <c r="B7" s="61">
        <v>2</v>
      </c>
      <c r="C7" s="61">
        <v>3</v>
      </c>
      <c r="D7" s="61">
        <v>4</v>
      </c>
      <c r="E7" s="62" t="s">
        <v>74</v>
      </c>
      <c r="F7" s="62" t="s">
        <v>75</v>
      </c>
      <c r="G7" s="62" t="s">
        <v>76</v>
      </c>
      <c r="H7" s="62" t="s">
        <v>77</v>
      </c>
      <c r="I7" s="62" t="s">
        <v>78</v>
      </c>
      <c r="J7" s="205" t="s">
        <v>41</v>
      </c>
      <c r="K7" s="205" t="s">
        <v>21</v>
      </c>
      <c r="L7" s="63">
        <v>12</v>
      </c>
      <c r="M7" s="63">
        <v>13</v>
      </c>
      <c r="N7" s="257">
        <v>14</v>
      </c>
      <c r="O7" s="257"/>
      <c r="P7" s="257"/>
      <c r="Q7" s="257">
        <v>15</v>
      </c>
      <c r="R7" s="257"/>
      <c r="S7" s="257"/>
      <c r="T7" s="257">
        <v>16</v>
      </c>
      <c r="U7" s="257"/>
      <c r="V7" s="257"/>
      <c r="W7" s="4"/>
      <c r="X7" s="4"/>
      <c r="Y7" s="4"/>
      <c r="Z7" s="270"/>
      <c r="AA7" s="4"/>
      <c r="AB7" s="4"/>
      <c r="AC7" s="4"/>
      <c r="AD7" s="4"/>
      <c r="AE7" s="4"/>
      <c r="AF7" s="17"/>
      <c r="AG7" s="17"/>
      <c r="AH7" s="17"/>
      <c r="AI7" s="18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267"/>
      <c r="AV7" s="17"/>
      <c r="AW7" s="17"/>
      <c r="AX7" s="17"/>
      <c r="AY7" s="17"/>
      <c r="AZ7" s="17"/>
      <c r="BA7" s="17"/>
      <c r="BB7" s="26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267"/>
      <c r="BR7" s="267"/>
      <c r="BS7" s="4"/>
      <c r="BT7" s="4"/>
      <c r="BU7" s="4"/>
      <c r="BV7" s="4"/>
      <c r="BW7" s="4"/>
      <c r="BX7" s="271"/>
      <c r="BY7" s="4"/>
      <c r="BZ7" s="4"/>
      <c r="CA7" s="4"/>
      <c r="CB7" s="4"/>
    </row>
    <row r="8" spans="1:80" ht="12.75">
      <c r="A8" s="258" t="s">
        <v>79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171">
        <f aca="true" t="shared" si="0" ref="L8:V8">SUM(L9+L50+L65+L87+L95+L101)</f>
        <v>337399.3</v>
      </c>
      <c r="M8" s="171"/>
      <c r="N8" s="171">
        <f t="shared" si="0"/>
        <v>243379.19999999998</v>
      </c>
      <c r="O8" s="171">
        <f t="shared" si="0"/>
        <v>243379.19999999998</v>
      </c>
      <c r="P8" s="171">
        <f t="shared" si="0"/>
        <v>0</v>
      </c>
      <c r="Q8" s="171">
        <f t="shared" si="0"/>
        <v>275122.19999999995</v>
      </c>
      <c r="R8" s="171">
        <f t="shared" si="0"/>
        <v>275122.19999999995</v>
      </c>
      <c r="S8" s="171">
        <f t="shared" si="0"/>
        <v>0</v>
      </c>
      <c r="T8" s="171">
        <f t="shared" si="0"/>
        <v>281855.4</v>
      </c>
      <c r="U8" s="171">
        <f t="shared" si="0"/>
        <v>281855.4</v>
      </c>
      <c r="V8" s="171">
        <f t="shared" si="0"/>
        <v>0</v>
      </c>
      <c r="W8" s="272"/>
      <c r="X8" s="273"/>
      <c r="Y8" s="274"/>
      <c r="Z8" s="274"/>
      <c r="AA8" s="274"/>
      <c r="AB8" s="274"/>
      <c r="AC8" s="274"/>
      <c r="AD8" s="274"/>
      <c r="AE8" s="274"/>
      <c r="AF8" s="274"/>
      <c r="AG8" s="8"/>
      <c r="AH8" s="4"/>
      <c r="AI8" s="4"/>
      <c r="AJ8" s="4"/>
      <c r="AK8" s="4"/>
      <c r="AL8" s="4"/>
      <c r="AM8" s="4"/>
      <c r="AN8" s="275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8"/>
      <c r="BC8" s="8"/>
      <c r="BD8" s="4"/>
      <c r="BE8" s="4"/>
      <c r="BF8" s="4"/>
      <c r="BG8" s="4"/>
      <c r="BH8" s="8"/>
      <c r="BI8" s="4"/>
      <c r="BJ8" s="4"/>
      <c r="BK8" s="4"/>
      <c r="BL8" s="4"/>
      <c r="BM8" s="4"/>
      <c r="BN8" s="4"/>
      <c r="BO8" s="8"/>
      <c r="BP8" s="8"/>
      <c r="BQ8" s="4"/>
      <c r="BR8" s="4"/>
      <c r="BS8" s="4"/>
      <c r="BT8" s="4"/>
      <c r="BU8" s="4"/>
      <c r="BV8" s="4"/>
      <c r="BW8" s="4"/>
      <c r="BX8" s="271"/>
      <c r="BY8" s="4"/>
      <c r="BZ8" s="4"/>
      <c r="CA8" s="4"/>
      <c r="CB8" s="4"/>
    </row>
    <row r="9" spans="1:80" ht="12.75">
      <c r="A9" s="165" t="s">
        <v>1</v>
      </c>
      <c r="B9" s="255" t="s">
        <v>80</v>
      </c>
      <c r="C9" s="255"/>
      <c r="D9" s="255"/>
      <c r="E9" s="255"/>
      <c r="F9" s="255"/>
      <c r="G9" s="255"/>
      <c r="H9" s="255"/>
      <c r="I9" s="255"/>
      <c r="J9" s="206"/>
      <c r="K9" s="206"/>
      <c r="L9" s="66">
        <f aca="true" t="shared" si="1" ref="L9:V9">SUM(L10+L23+L30+L15)</f>
        <v>125590.1</v>
      </c>
      <c r="M9" s="66"/>
      <c r="N9" s="66">
        <f t="shared" si="1"/>
        <v>62171.5</v>
      </c>
      <c r="O9" s="66">
        <f t="shared" si="1"/>
        <v>62171.5</v>
      </c>
      <c r="P9" s="66">
        <f t="shared" si="1"/>
        <v>0</v>
      </c>
      <c r="Q9" s="66">
        <f t="shared" si="1"/>
        <v>65462.299999999996</v>
      </c>
      <c r="R9" s="66">
        <f t="shared" si="1"/>
        <v>65462.299999999996</v>
      </c>
      <c r="S9" s="66">
        <f t="shared" si="1"/>
        <v>0</v>
      </c>
      <c r="T9" s="66">
        <f t="shared" si="1"/>
        <v>67544.7</v>
      </c>
      <c r="U9" s="66">
        <f t="shared" si="1"/>
        <v>67544.7</v>
      </c>
      <c r="V9" s="66">
        <f t="shared" si="1"/>
        <v>0</v>
      </c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19"/>
      <c r="AH9" s="277"/>
      <c r="AI9" s="277"/>
      <c r="AJ9" s="29"/>
      <c r="AK9" s="277"/>
      <c r="AL9" s="277"/>
      <c r="AM9" s="29"/>
      <c r="AN9" s="19"/>
      <c r="AO9" s="277"/>
      <c r="AP9" s="277"/>
      <c r="AQ9" s="29"/>
      <c r="AR9" s="29"/>
      <c r="AS9" s="277"/>
      <c r="AT9" s="277"/>
      <c r="AU9" s="19"/>
      <c r="AV9" s="29"/>
      <c r="AW9" s="29"/>
      <c r="AX9" s="29"/>
      <c r="AY9" s="277"/>
      <c r="AZ9" s="29"/>
      <c r="BA9" s="277"/>
      <c r="BB9" s="19"/>
      <c r="BC9" s="19"/>
      <c r="BD9" s="29"/>
      <c r="BE9" s="29"/>
      <c r="BF9" s="29"/>
      <c r="BG9" s="29"/>
      <c r="BH9" s="19"/>
      <c r="BI9" s="29"/>
      <c r="BJ9" s="29"/>
      <c r="BK9" s="29"/>
      <c r="BL9" s="277"/>
      <c r="BM9" s="29"/>
      <c r="BN9" s="29"/>
      <c r="BO9" s="277"/>
      <c r="BP9" s="29"/>
      <c r="BQ9" s="19"/>
      <c r="BR9" s="278"/>
      <c r="BS9" s="4"/>
      <c r="BT9" s="4"/>
      <c r="BU9" s="4"/>
      <c r="BV9" s="4"/>
      <c r="BW9" s="4"/>
      <c r="BX9" s="279"/>
      <c r="BY9" s="280"/>
      <c r="BZ9" s="281"/>
      <c r="CA9" s="280"/>
      <c r="CB9" s="281"/>
    </row>
    <row r="10" spans="1:80" ht="25.5" customHeight="1">
      <c r="A10" s="67" t="s">
        <v>81</v>
      </c>
      <c r="B10" s="362" t="s">
        <v>82</v>
      </c>
      <c r="C10" s="362"/>
      <c r="D10" s="362"/>
      <c r="E10" s="67"/>
      <c r="F10" s="67"/>
      <c r="G10" s="67"/>
      <c r="H10" s="67"/>
      <c r="I10" s="68"/>
      <c r="J10" s="207"/>
      <c r="K10" s="207"/>
      <c r="L10" s="69">
        <f>SUM(L11)</f>
        <v>7036</v>
      </c>
      <c r="M10" s="69"/>
      <c r="N10" s="69">
        <f>SUM(N11)</f>
        <v>7908.3</v>
      </c>
      <c r="O10" s="69">
        <f aca="true" t="shared" si="2" ref="O10:V10">SUM(O11)</f>
        <v>7908.3</v>
      </c>
      <c r="P10" s="69">
        <f t="shared" si="2"/>
        <v>0</v>
      </c>
      <c r="Q10" s="69">
        <f t="shared" si="2"/>
        <v>7973.9</v>
      </c>
      <c r="R10" s="69">
        <f t="shared" si="2"/>
        <v>7973.9</v>
      </c>
      <c r="S10" s="69">
        <f t="shared" si="2"/>
        <v>0</v>
      </c>
      <c r="T10" s="69">
        <f t="shared" si="2"/>
        <v>8041.7</v>
      </c>
      <c r="U10" s="69">
        <f t="shared" si="2"/>
        <v>8041.7</v>
      </c>
      <c r="V10" s="69">
        <f t="shared" si="2"/>
        <v>0</v>
      </c>
      <c r="W10" s="4"/>
      <c r="X10" s="4"/>
      <c r="Y10" s="4"/>
      <c r="Z10" s="4"/>
      <c r="AA10" s="4"/>
      <c r="AB10" s="4"/>
      <c r="AC10" s="4"/>
      <c r="AD10" s="4"/>
      <c r="AE10" s="4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278"/>
      <c r="BS10" s="8"/>
      <c r="BT10" s="4"/>
      <c r="BU10" s="4"/>
      <c r="BV10" s="4"/>
      <c r="BW10" s="4"/>
      <c r="BX10" s="279"/>
      <c r="BY10" s="280"/>
      <c r="BZ10" s="281"/>
      <c r="CA10" s="280"/>
      <c r="CB10" s="281"/>
    </row>
    <row r="11" spans="1:80" ht="12.75">
      <c r="A11" s="363" t="s">
        <v>83</v>
      </c>
      <c r="B11" s="363"/>
      <c r="C11" s="363"/>
      <c r="D11" s="363"/>
      <c r="E11" s="70"/>
      <c r="F11" s="70"/>
      <c r="G11" s="70"/>
      <c r="H11" s="70"/>
      <c r="I11" s="71"/>
      <c r="J11" s="208"/>
      <c r="K11" s="208"/>
      <c r="L11" s="72">
        <f>SUM(L12:L14)</f>
        <v>7036</v>
      </c>
      <c r="M11" s="72"/>
      <c r="N11" s="72">
        <f>SUM(N12:N14)</f>
        <v>7908.3</v>
      </c>
      <c r="O11" s="72">
        <f aca="true" t="shared" si="3" ref="O11:V11">SUM(O12:O14)</f>
        <v>7908.3</v>
      </c>
      <c r="P11" s="72">
        <f t="shared" si="3"/>
        <v>0</v>
      </c>
      <c r="Q11" s="72">
        <f t="shared" si="3"/>
        <v>7973.9</v>
      </c>
      <c r="R11" s="72">
        <f t="shared" si="3"/>
        <v>7973.9</v>
      </c>
      <c r="S11" s="72">
        <f t="shared" si="3"/>
        <v>0</v>
      </c>
      <c r="T11" s="72">
        <f t="shared" si="3"/>
        <v>8041.7</v>
      </c>
      <c r="U11" s="72">
        <f t="shared" si="3"/>
        <v>8041.7</v>
      </c>
      <c r="V11" s="72">
        <f t="shared" si="3"/>
        <v>0</v>
      </c>
      <c r="W11" s="4"/>
      <c r="X11" s="4"/>
      <c r="Y11" s="4"/>
      <c r="Z11" s="4"/>
      <c r="AA11" s="4"/>
      <c r="AB11" s="4"/>
      <c r="AC11" s="4"/>
      <c r="AD11" s="4"/>
      <c r="AE11" s="4"/>
      <c r="AF11" s="29"/>
      <c r="AG11" s="19"/>
      <c r="AH11" s="29"/>
      <c r="AI11" s="29"/>
      <c r="AJ11" s="29"/>
      <c r="AK11" s="29"/>
      <c r="AL11" s="29"/>
      <c r="AM11" s="29"/>
      <c r="AN11" s="19"/>
      <c r="AO11" s="29"/>
      <c r="AP11" s="29"/>
      <c r="AQ11" s="29"/>
      <c r="AR11" s="29"/>
      <c r="AS11" s="29"/>
      <c r="AT11" s="29"/>
      <c r="AU11" s="19"/>
      <c r="AV11" s="29"/>
      <c r="AW11" s="29"/>
      <c r="AX11" s="29"/>
      <c r="AY11" s="29"/>
      <c r="AZ11" s="29"/>
      <c r="BA11" s="29"/>
      <c r="BB11" s="19"/>
      <c r="BC11" s="19"/>
      <c r="BD11" s="29"/>
      <c r="BE11" s="29"/>
      <c r="BF11" s="29"/>
      <c r="BG11" s="29"/>
      <c r="BH11" s="19"/>
      <c r="BI11" s="29"/>
      <c r="BJ11" s="29"/>
      <c r="BK11" s="29"/>
      <c r="BL11" s="29"/>
      <c r="BM11" s="29"/>
      <c r="BN11" s="29"/>
      <c r="BO11" s="29"/>
      <c r="BP11" s="29"/>
      <c r="BQ11" s="19"/>
      <c r="BR11" s="278"/>
      <c r="BS11" s="4"/>
      <c r="BT11" s="279"/>
      <c r="BU11" s="4"/>
      <c r="BV11" s="4"/>
      <c r="BW11" s="4"/>
      <c r="BX11" s="279"/>
      <c r="BY11" s="280"/>
      <c r="BZ11" s="281"/>
      <c r="CA11" s="280"/>
      <c r="CB11" s="281"/>
    </row>
    <row r="12" spans="1:90" ht="281.25">
      <c r="A12" s="73" t="s">
        <v>84</v>
      </c>
      <c r="B12" s="74" t="s">
        <v>85</v>
      </c>
      <c r="C12" s="75" t="s">
        <v>86</v>
      </c>
      <c r="D12" s="74"/>
      <c r="E12" s="76" t="s">
        <v>87</v>
      </c>
      <c r="F12" s="76" t="s">
        <v>88</v>
      </c>
      <c r="G12" s="76" t="s">
        <v>587</v>
      </c>
      <c r="H12" s="77" t="s">
        <v>89</v>
      </c>
      <c r="I12" s="78" t="s">
        <v>407</v>
      </c>
      <c r="J12" s="209" t="s">
        <v>482</v>
      </c>
      <c r="K12" s="209" t="s">
        <v>408</v>
      </c>
      <c r="L12" s="79">
        <f>SUM(5845.5+11+105)</f>
        <v>5961.5</v>
      </c>
      <c r="M12" s="79"/>
      <c r="N12" s="79">
        <v>6880.9</v>
      </c>
      <c r="O12" s="79">
        <v>6880.9</v>
      </c>
      <c r="P12" s="79"/>
      <c r="Q12" s="79">
        <v>6880.9</v>
      </c>
      <c r="R12" s="79">
        <v>6880.9</v>
      </c>
      <c r="S12" s="79"/>
      <c r="T12" s="79">
        <v>6880.9</v>
      </c>
      <c r="U12" s="79">
        <v>6880.9</v>
      </c>
      <c r="V12" s="79"/>
      <c r="W12" s="4"/>
      <c r="X12" s="4"/>
      <c r="Y12" s="4"/>
      <c r="Z12" s="4"/>
      <c r="AA12" s="4"/>
      <c r="AB12" s="4"/>
      <c r="AC12" s="4"/>
      <c r="AD12" s="4"/>
      <c r="AE12" s="4"/>
      <c r="AF12" s="29"/>
      <c r="AG12" s="19"/>
      <c r="AH12" s="29"/>
      <c r="AI12" s="277"/>
      <c r="AJ12" s="29"/>
      <c r="AK12" s="277"/>
      <c r="AL12" s="29"/>
      <c r="AM12" s="29"/>
      <c r="AN12" s="19"/>
      <c r="AO12" s="29"/>
      <c r="AP12" s="277"/>
      <c r="AQ12" s="29"/>
      <c r="AR12" s="29"/>
      <c r="AS12" s="277"/>
      <c r="AT12" s="277"/>
      <c r="AU12" s="19"/>
      <c r="AV12" s="29"/>
      <c r="AW12" s="29"/>
      <c r="AX12" s="29"/>
      <c r="AY12" s="277"/>
      <c r="AZ12" s="29"/>
      <c r="BA12" s="282"/>
      <c r="BB12" s="19"/>
      <c r="BC12" s="19"/>
      <c r="BD12" s="29"/>
      <c r="BE12" s="29"/>
      <c r="BF12" s="29"/>
      <c r="BG12" s="29"/>
      <c r="BH12" s="19"/>
      <c r="BI12" s="29"/>
      <c r="BJ12" s="29"/>
      <c r="BK12" s="29"/>
      <c r="BL12" s="277"/>
      <c r="BM12" s="29"/>
      <c r="BN12" s="29"/>
      <c r="BO12" s="277"/>
      <c r="BP12" s="29"/>
      <c r="BQ12" s="19"/>
      <c r="BR12" s="278"/>
      <c r="BS12" s="279"/>
      <c r="BT12" s="279"/>
      <c r="BU12" s="4"/>
      <c r="BV12" s="4"/>
      <c r="BW12" s="4"/>
      <c r="BX12" s="279"/>
      <c r="BY12" s="280"/>
      <c r="BZ12" s="281"/>
      <c r="CA12" s="280"/>
      <c r="CB12" s="281"/>
      <c r="CC12" s="12"/>
      <c r="CD12" s="12"/>
      <c r="CE12" s="12"/>
      <c r="CF12" s="12"/>
      <c r="CG12" s="12"/>
      <c r="CH12" s="12"/>
      <c r="CI12" s="12"/>
      <c r="CJ12" s="12"/>
      <c r="CK12" s="12"/>
      <c r="CL12" s="12"/>
    </row>
    <row r="13" spans="1:90" ht="81" customHeight="1">
      <c r="A13" s="22" t="s">
        <v>90</v>
      </c>
      <c r="B13" s="74" t="s">
        <v>91</v>
      </c>
      <c r="C13" s="75" t="s">
        <v>86</v>
      </c>
      <c r="D13" s="74"/>
      <c r="E13" s="76" t="s">
        <v>363</v>
      </c>
      <c r="F13" s="76" t="s">
        <v>364</v>
      </c>
      <c r="G13" s="76" t="s">
        <v>365</v>
      </c>
      <c r="H13" s="77" t="s">
        <v>366</v>
      </c>
      <c r="I13" s="78" t="s">
        <v>92</v>
      </c>
      <c r="J13" s="209" t="s">
        <v>473</v>
      </c>
      <c r="K13" s="209" t="s">
        <v>93</v>
      </c>
      <c r="L13" s="79">
        <f>SUM(1011.6)</f>
        <v>1011.6</v>
      </c>
      <c r="M13" s="79"/>
      <c r="N13" s="79">
        <f>SUM(949.6)</f>
        <v>949.6</v>
      </c>
      <c r="O13" s="79">
        <v>949.6</v>
      </c>
      <c r="P13" s="79"/>
      <c r="Q13" s="79">
        <v>1010.4</v>
      </c>
      <c r="R13" s="79">
        <v>1010.4</v>
      </c>
      <c r="S13" s="79"/>
      <c r="T13" s="79">
        <v>1073</v>
      </c>
      <c r="U13" s="79">
        <v>1073</v>
      </c>
      <c r="V13" s="79"/>
      <c r="W13" s="4"/>
      <c r="X13" s="4"/>
      <c r="Y13" s="4"/>
      <c r="Z13" s="4"/>
      <c r="AA13" s="4"/>
      <c r="AB13" s="4"/>
      <c r="AC13" s="4"/>
      <c r="AD13" s="4"/>
      <c r="AE13" s="4"/>
      <c r="AF13" s="19"/>
      <c r="AG13" s="19"/>
      <c r="AH13" s="283"/>
      <c r="AI13" s="283"/>
      <c r="AJ13" s="19"/>
      <c r="AK13" s="283"/>
      <c r="AL13" s="19"/>
      <c r="AM13" s="19"/>
      <c r="AN13" s="19"/>
      <c r="AO13" s="283"/>
      <c r="AP13" s="283"/>
      <c r="AQ13" s="19"/>
      <c r="AR13" s="19"/>
      <c r="AS13" s="283"/>
      <c r="AT13" s="277"/>
      <c r="AU13" s="19"/>
      <c r="AV13" s="19"/>
      <c r="AW13" s="19"/>
      <c r="AX13" s="19"/>
      <c r="AY13" s="283"/>
      <c r="AZ13" s="19"/>
      <c r="BA13" s="283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283"/>
      <c r="BM13" s="19"/>
      <c r="BN13" s="19"/>
      <c r="BO13" s="283"/>
      <c r="BP13" s="19"/>
      <c r="BQ13" s="19"/>
      <c r="BR13" s="278"/>
      <c r="BS13" s="284"/>
      <c r="BT13" s="284"/>
      <c r="BU13" s="4"/>
      <c r="BV13" s="4"/>
      <c r="BW13" s="4"/>
      <c r="BX13" s="279"/>
      <c r="BY13" s="280"/>
      <c r="BZ13" s="281"/>
      <c r="CA13" s="280"/>
      <c r="CB13" s="281"/>
      <c r="CC13" s="14"/>
      <c r="CD13" s="14"/>
      <c r="CE13" s="14"/>
      <c r="CF13" s="14"/>
      <c r="CG13" s="14"/>
      <c r="CH13" s="14"/>
      <c r="CI13" s="14"/>
      <c r="CJ13" s="14"/>
      <c r="CK13" s="14"/>
      <c r="CL13" s="14"/>
    </row>
    <row r="14" spans="1:90" ht="400.5" customHeight="1">
      <c r="A14" s="73">
        <v>1.3</v>
      </c>
      <c r="B14" s="78" t="s">
        <v>94</v>
      </c>
      <c r="C14" s="75" t="s">
        <v>86</v>
      </c>
      <c r="D14" s="74"/>
      <c r="E14" s="76" t="s">
        <v>95</v>
      </c>
      <c r="F14" s="76" t="s">
        <v>96</v>
      </c>
      <c r="G14" s="76" t="s">
        <v>97</v>
      </c>
      <c r="H14" s="77" t="s">
        <v>98</v>
      </c>
      <c r="I14" s="80" t="s">
        <v>99</v>
      </c>
      <c r="J14" s="209" t="s">
        <v>100</v>
      </c>
      <c r="K14" s="209" t="s">
        <v>101</v>
      </c>
      <c r="L14" s="79">
        <f>SUM(1.7+61.2)</f>
        <v>62.900000000000006</v>
      </c>
      <c r="M14" s="79"/>
      <c r="N14" s="79">
        <f>SUM(2.1+75.7)</f>
        <v>77.8</v>
      </c>
      <c r="O14" s="79">
        <f>SUM(2.1+75.7)</f>
        <v>77.8</v>
      </c>
      <c r="P14" s="79"/>
      <c r="Q14" s="79">
        <f>SUM(2.1+80.5)</f>
        <v>82.6</v>
      </c>
      <c r="R14" s="79">
        <f>SUM(2.1+80.5)</f>
        <v>82.6</v>
      </c>
      <c r="S14" s="79"/>
      <c r="T14" s="79">
        <f>SUM(2.3+85.5)</f>
        <v>87.8</v>
      </c>
      <c r="U14" s="79">
        <f>SUM(2.3+85.5)</f>
        <v>87.8</v>
      </c>
      <c r="V14" s="79"/>
      <c r="W14" s="4"/>
      <c r="X14" s="4"/>
      <c r="Y14" s="4"/>
      <c r="Z14" s="4"/>
      <c r="AA14" s="4"/>
      <c r="AB14" s="4"/>
      <c r="AC14" s="4"/>
      <c r="AD14" s="4"/>
      <c r="AE14" s="4"/>
      <c r="AF14" s="29"/>
      <c r="AG14" s="19"/>
      <c r="AH14" s="29"/>
      <c r="AI14" s="277"/>
      <c r="AJ14" s="29"/>
      <c r="AK14" s="29"/>
      <c r="AL14" s="29"/>
      <c r="AM14" s="29"/>
      <c r="AN14" s="19"/>
      <c r="AO14" s="29"/>
      <c r="AP14" s="277"/>
      <c r="AQ14" s="29"/>
      <c r="AR14" s="29"/>
      <c r="AS14" s="29"/>
      <c r="AT14" s="29"/>
      <c r="AU14" s="19"/>
      <c r="AV14" s="29"/>
      <c r="AW14" s="29"/>
      <c r="AX14" s="29"/>
      <c r="AY14" s="29"/>
      <c r="AZ14" s="29"/>
      <c r="BA14" s="29"/>
      <c r="BB14" s="19"/>
      <c r="BC14" s="19"/>
      <c r="BD14" s="29"/>
      <c r="BE14" s="29"/>
      <c r="BF14" s="277"/>
      <c r="BG14" s="29"/>
      <c r="BH14" s="19"/>
      <c r="BI14" s="29"/>
      <c r="BJ14" s="29"/>
      <c r="BK14" s="29"/>
      <c r="BL14" s="29"/>
      <c r="BM14" s="29"/>
      <c r="BN14" s="29"/>
      <c r="BO14" s="277"/>
      <c r="BP14" s="29"/>
      <c r="BQ14" s="19"/>
      <c r="BR14" s="285"/>
      <c r="BS14" s="4"/>
      <c r="BT14" s="4"/>
      <c r="BU14" s="4"/>
      <c r="BV14" s="4"/>
      <c r="BW14" s="4"/>
      <c r="BX14" s="279"/>
      <c r="BY14" s="280"/>
      <c r="BZ14" s="281"/>
      <c r="CA14" s="280"/>
      <c r="CB14" s="281"/>
      <c r="CC14" s="14"/>
      <c r="CD14" s="14"/>
      <c r="CE14" s="14"/>
      <c r="CF14" s="14"/>
      <c r="CG14" s="14"/>
      <c r="CH14" s="14"/>
      <c r="CI14" s="14"/>
      <c r="CJ14" s="14"/>
      <c r="CK14" s="14"/>
      <c r="CL14" s="14"/>
    </row>
    <row r="15" spans="1:90" ht="12.75">
      <c r="A15" s="82" t="s">
        <v>102</v>
      </c>
      <c r="B15" s="81" t="s">
        <v>94</v>
      </c>
      <c r="C15" s="82"/>
      <c r="D15" s="82"/>
      <c r="E15" s="82"/>
      <c r="F15" s="82"/>
      <c r="G15" s="82"/>
      <c r="H15" s="82"/>
      <c r="I15" s="82"/>
      <c r="J15" s="210"/>
      <c r="K15" s="210"/>
      <c r="L15" s="83">
        <f>SUM(L16:L22)</f>
        <v>884.5</v>
      </c>
      <c r="M15" s="83"/>
      <c r="N15" s="83">
        <f>SUM(N16:N22)</f>
        <v>2493</v>
      </c>
      <c r="O15" s="83">
        <f aca="true" t="shared" si="4" ref="O15:V15">SUM(O16:O22)</f>
        <v>2493</v>
      </c>
      <c r="P15" s="83">
        <f t="shared" si="4"/>
        <v>0</v>
      </c>
      <c r="Q15" s="83">
        <f t="shared" si="4"/>
        <v>2652.6</v>
      </c>
      <c r="R15" s="83">
        <f t="shared" si="4"/>
        <v>2652.6</v>
      </c>
      <c r="S15" s="83">
        <f t="shared" si="4"/>
        <v>0</v>
      </c>
      <c r="T15" s="83">
        <f t="shared" si="4"/>
        <v>2817.0000000000005</v>
      </c>
      <c r="U15" s="83">
        <f t="shared" si="4"/>
        <v>2817.0000000000005</v>
      </c>
      <c r="V15" s="83">
        <f t="shared" si="4"/>
        <v>0</v>
      </c>
      <c r="W15" s="4"/>
      <c r="X15" s="4"/>
      <c r="Y15" s="4"/>
      <c r="Z15" s="4"/>
      <c r="AA15" s="4"/>
      <c r="AB15" s="4"/>
      <c r="AC15" s="4"/>
      <c r="AD15" s="4"/>
      <c r="AE15" s="4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29"/>
      <c r="AU15" s="19"/>
      <c r="AV15" s="19"/>
      <c r="AW15" s="19"/>
      <c r="AX15" s="19"/>
      <c r="AY15" s="19"/>
      <c r="AZ15" s="19"/>
      <c r="BA15" s="286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287"/>
      <c r="BS15" s="4"/>
      <c r="BT15" s="4"/>
      <c r="BU15" s="4"/>
      <c r="BV15" s="4"/>
      <c r="BW15" s="4"/>
      <c r="BX15" s="279"/>
      <c r="BY15" s="280"/>
      <c r="BZ15" s="281"/>
      <c r="CA15" s="280"/>
      <c r="CB15" s="281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ht="114" customHeight="1">
      <c r="A16" s="73" t="s">
        <v>84</v>
      </c>
      <c r="B16" s="84" t="s">
        <v>103</v>
      </c>
      <c r="C16" s="85"/>
      <c r="D16" s="85"/>
      <c r="E16" s="86" t="s">
        <v>2</v>
      </c>
      <c r="F16" s="86" t="s">
        <v>21</v>
      </c>
      <c r="G16" s="86" t="s">
        <v>32</v>
      </c>
      <c r="H16" s="86" t="s">
        <v>104</v>
      </c>
      <c r="I16" s="87" t="s">
        <v>105</v>
      </c>
      <c r="J16" s="211" t="s">
        <v>106</v>
      </c>
      <c r="K16" s="211" t="s">
        <v>107</v>
      </c>
      <c r="L16" s="79"/>
      <c r="M16" s="79"/>
      <c r="N16" s="79">
        <v>1000</v>
      </c>
      <c r="O16" s="79">
        <v>1000</v>
      </c>
      <c r="P16" s="79"/>
      <c r="Q16" s="79">
        <v>1064</v>
      </c>
      <c r="R16" s="79">
        <v>1064</v>
      </c>
      <c r="S16" s="79"/>
      <c r="T16" s="79">
        <v>1130</v>
      </c>
      <c r="U16" s="79">
        <v>1130</v>
      </c>
      <c r="V16" s="79"/>
      <c r="W16" s="4"/>
      <c r="X16" s="4"/>
      <c r="Y16" s="4"/>
      <c r="Z16" s="4"/>
      <c r="AA16" s="4"/>
      <c r="AB16" s="4"/>
      <c r="AC16" s="4"/>
      <c r="AD16" s="4"/>
      <c r="AE16" s="4"/>
      <c r="AF16" s="29"/>
      <c r="AG16" s="19"/>
      <c r="AH16" s="29"/>
      <c r="AI16" s="29"/>
      <c r="AJ16" s="29"/>
      <c r="AK16" s="29"/>
      <c r="AL16" s="29"/>
      <c r="AM16" s="29"/>
      <c r="AN16" s="19"/>
      <c r="AO16" s="29"/>
      <c r="AP16" s="277"/>
      <c r="AQ16" s="29"/>
      <c r="AR16" s="29"/>
      <c r="AS16" s="282"/>
      <c r="AT16" s="29"/>
      <c r="AU16" s="19"/>
      <c r="AV16" s="29"/>
      <c r="AW16" s="29"/>
      <c r="AX16" s="29"/>
      <c r="AY16" s="29"/>
      <c r="AZ16" s="29"/>
      <c r="BA16" s="282"/>
      <c r="BB16" s="19"/>
      <c r="BC16" s="19"/>
      <c r="BD16" s="29"/>
      <c r="BE16" s="29"/>
      <c r="BF16" s="29"/>
      <c r="BG16" s="29"/>
      <c r="BH16" s="19"/>
      <c r="BI16" s="29"/>
      <c r="BJ16" s="29"/>
      <c r="BK16" s="29"/>
      <c r="BL16" s="29"/>
      <c r="BM16" s="29"/>
      <c r="BN16" s="29"/>
      <c r="BO16" s="29"/>
      <c r="BP16" s="29"/>
      <c r="BQ16" s="19"/>
      <c r="BR16" s="278"/>
      <c r="BS16" s="4"/>
      <c r="BT16" s="4"/>
      <c r="BU16" s="4"/>
      <c r="BV16" s="4"/>
      <c r="BW16" s="4"/>
      <c r="BX16" s="279"/>
      <c r="BY16" s="280"/>
      <c r="BZ16" s="281"/>
      <c r="CA16" s="280"/>
      <c r="CB16" s="281"/>
      <c r="CC16" s="12"/>
      <c r="CD16" s="12"/>
      <c r="CE16" s="12"/>
      <c r="CF16" s="12"/>
      <c r="CG16" s="12"/>
      <c r="CH16" s="12"/>
      <c r="CI16" s="12"/>
      <c r="CJ16" s="12"/>
      <c r="CK16" s="12"/>
      <c r="CL16" s="12"/>
    </row>
    <row r="17" spans="1:90" ht="94.5" customHeight="1">
      <c r="A17" s="73" t="s">
        <v>90</v>
      </c>
      <c r="B17" s="85" t="s">
        <v>49</v>
      </c>
      <c r="C17" s="85"/>
      <c r="D17" s="85"/>
      <c r="E17" s="86" t="s">
        <v>299</v>
      </c>
      <c r="F17" s="86" t="s">
        <v>300</v>
      </c>
      <c r="G17" s="86" t="s">
        <v>301</v>
      </c>
      <c r="H17" s="86" t="s">
        <v>302</v>
      </c>
      <c r="I17" s="88" t="s">
        <v>108</v>
      </c>
      <c r="J17" s="89" t="s">
        <v>473</v>
      </c>
      <c r="K17" s="90" t="s">
        <v>107</v>
      </c>
      <c r="L17" s="79">
        <f>SUM(633.2)</f>
        <v>633.2</v>
      </c>
      <c r="M17" s="79"/>
      <c r="N17" s="79">
        <f>SUM(1285)</f>
        <v>1285</v>
      </c>
      <c r="O17" s="79">
        <f>SUM(1285)</f>
        <v>1285</v>
      </c>
      <c r="P17" s="79"/>
      <c r="Q17" s="79">
        <v>1367.3</v>
      </c>
      <c r="R17" s="79">
        <v>1367.3</v>
      </c>
      <c r="S17" s="79"/>
      <c r="T17" s="79">
        <v>1452</v>
      </c>
      <c r="U17" s="79">
        <v>1452</v>
      </c>
      <c r="V17" s="79"/>
      <c r="W17" s="4"/>
      <c r="X17" s="4"/>
      <c r="Y17" s="4"/>
      <c r="Z17" s="4"/>
      <c r="AA17" s="4"/>
      <c r="AB17" s="4"/>
      <c r="AC17" s="4"/>
      <c r="AD17" s="4"/>
      <c r="AE17" s="4"/>
      <c r="AF17" s="29"/>
      <c r="AG17" s="19"/>
      <c r="AH17" s="29"/>
      <c r="AI17" s="29"/>
      <c r="AJ17" s="29"/>
      <c r="AK17" s="29"/>
      <c r="AL17" s="29"/>
      <c r="AM17" s="29"/>
      <c r="AN17" s="19"/>
      <c r="AO17" s="277"/>
      <c r="AP17" s="282"/>
      <c r="AQ17" s="29"/>
      <c r="AR17" s="29"/>
      <c r="AS17" s="29"/>
      <c r="AT17" s="288"/>
      <c r="AU17" s="19"/>
      <c r="AV17" s="29"/>
      <c r="AW17" s="29"/>
      <c r="AX17" s="29"/>
      <c r="AY17" s="29"/>
      <c r="AZ17" s="29"/>
      <c r="BA17" s="29"/>
      <c r="BB17" s="19"/>
      <c r="BC17" s="19"/>
      <c r="BD17" s="29"/>
      <c r="BE17" s="29"/>
      <c r="BF17" s="29"/>
      <c r="BG17" s="29"/>
      <c r="BH17" s="19"/>
      <c r="BI17" s="29"/>
      <c r="BJ17" s="29"/>
      <c r="BK17" s="29"/>
      <c r="BL17" s="29"/>
      <c r="BM17" s="29"/>
      <c r="BN17" s="29"/>
      <c r="BO17" s="29"/>
      <c r="BP17" s="29"/>
      <c r="BQ17" s="19"/>
      <c r="BR17" s="289"/>
      <c r="BS17" s="4"/>
      <c r="BT17" s="4"/>
      <c r="BU17" s="4"/>
      <c r="BV17" s="4"/>
      <c r="BW17" s="4"/>
      <c r="BX17" s="279"/>
      <c r="BY17" s="280"/>
      <c r="BZ17" s="281"/>
      <c r="CA17" s="280"/>
      <c r="CB17" s="281"/>
      <c r="CC17" s="12"/>
      <c r="CD17" s="12"/>
      <c r="CE17" s="12"/>
      <c r="CF17" s="12"/>
      <c r="CG17" s="12"/>
      <c r="CH17" s="12"/>
      <c r="CI17" s="12"/>
      <c r="CJ17" s="12"/>
      <c r="CK17" s="12"/>
      <c r="CL17" s="12"/>
    </row>
    <row r="18" spans="1:90" ht="191.25">
      <c r="A18" s="73" t="s">
        <v>110</v>
      </c>
      <c r="B18" s="94" t="s">
        <v>13</v>
      </c>
      <c r="C18" s="94"/>
      <c r="D18" s="94"/>
      <c r="E18" s="86" t="s">
        <v>41</v>
      </c>
      <c r="F18" s="86" t="s">
        <v>4</v>
      </c>
      <c r="G18" s="86" t="s">
        <v>32</v>
      </c>
      <c r="H18" s="86" t="s">
        <v>127</v>
      </c>
      <c r="I18" s="78" t="s">
        <v>147</v>
      </c>
      <c r="J18" s="218" t="s">
        <v>148</v>
      </c>
      <c r="K18" s="215" t="s">
        <v>138</v>
      </c>
      <c r="L18" s="79">
        <v>46.5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4"/>
      <c r="X18" s="4"/>
      <c r="Y18" s="4"/>
      <c r="Z18" s="4"/>
      <c r="AA18" s="4"/>
      <c r="AB18" s="4"/>
      <c r="AC18" s="4"/>
      <c r="AD18" s="4"/>
      <c r="AE18" s="4"/>
      <c r="AF18" s="19"/>
      <c r="AG18" s="19"/>
      <c r="AH18" s="19"/>
      <c r="AI18" s="283"/>
      <c r="AJ18" s="19"/>
      <c r="AK18" s="19"/>
      <c r="AL18" s="19"/>
      <c r="AM18" s="19"/>
      <c r="AN18" s="19"/>
      <c r="AO18" s="283"/>
      <c r="AP18" s="290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91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283"/>
      <c r="BP18" s="283"/>
      <c r="BQ18" s="19"/>
      <c r="BR18" s="287"/>
      <c r="BS18" s="4"/>
      <c r="BT18" s="279"/>
      <c r="BU18" s="4"/>
      <c r="BV18" s="4"/>
      <c r="BW18" s="4"/>
      <c r="BX18" s="279"/>
      <c r="BY18" s="280"/>
      <c r="BZ18" s="281"/>
      <c r="CA18" s="280"/>
      <c r="CB18" s="281"/>
      <c r="CC18" s="12"/>
      <c r="CD18" s="12"/>
      <c r="CE18" s="12"/>
      <c r="CF18" s="12"/>
      <c r="CG18" s="12"/>
      <c r="CH18" s="12"/>
      <c r="CI18" s="12"/>
      <c r="CJ18" s="12"/>
      <c r="CK18" s="12"/>
      <c r="CL18" s="12"/>
    </row>
    <row r="19" spans="1:90" ht="135">
      <c r="A19" s="73" t="s">
        <v>113</v>
      </c>
      <c r="B19" s="91" t="s">
        <v>303</v>
      </c>
      <c r="C19" s="91"/>
      <c r="D19" s="91"/>
      <c r="E19" s="86" t="s">
        <v>41</v>
      </c>
      <c r="F19" s="86" t="s">
        <v>4</v>
      </c>
      <c r="G19" s="86" t="s">
        <v>308</v>
      </c>
      <c r="H19" s="86" t="s">
        <v>37</v>
      </c>
      <c r="I19" s="92" t="s">
        <v>114</v>
      </c>
      <c r="J19" s="233" t="s">
        <v>481</v>
      </c>
      <c r="K19" s="213" t="s">
        <v>115</v>
      </c>
      <c r="L19" s="79">
        <v>50</v>
      </c>
      <c r="M19" s="79"/>
      <c r="N19" s="79">
        <v>50</v>
      </c>
      <c r="O19" s="79">
        <v>50</v>
      </c>
      <c r="P19" s="79"/>
      <c r="Q19" s="79">
        <v>53.2</v>
      </c>
      <c r="R19" s="79">
        <v>53.2</v>
      </c>
      <c r="S19" s="79"/>
      <c r="T19" s="79">
        <v>56.5</v>
      </c>
      <c r="U19" s="79">
        <v>56.5</v>
      </c>
      <c r="V19" s="79"/>
      <c r="W19" s="4"/>
      <c r="X19" s="4"/>
      <c r="Y19" s="4"/>
      <c r="Z19" s="4"/>
      <c r="AA19" s="4"/>
      <c r="AB19" s="4"/>
      <c r="AC19" s="4"/>
      <c r="AD19" s="4"/>
      <c r="AE19" s="4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91"/>
      <c r="BB19" s="19"/>
      <c r="BC19" s="19"/>
      <c r="BD19" s="19"/>
      <c r="BE19" s="29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287"/>
      <c r="BS19" s="4"/>
      <c r="BT19" s="4"/>
      <c r="BU19" s="4"/>
      <c r="BV19" s="4"/>
      <c r="BW19" s="4"/>
      <c r="BX19" s="279"/>
      <c r="BY19" s="280"/>
      <c r="BZ19" s="281"/>
      <c r="CA19" s="280"/>
      <c r="CB19" s="281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62" customHeight="1">
      <c r="A20" s="73" t="s">
        <v>116</v>
      </c>
      <c r="B20" s="91" t="s">
        <v>306</v>
      </c>
      <c r="C20" s="91"/>
      <c r="D20" s="91"/>
      <c r="E20" s="86" t="s">
        <v>41</v>
      </c>
      <c r="F20" s="86" t="s">
        <v>4</v>
      </c>
      <c r="G20" s="86" t="s">
        <v>309</v>
      </c>
      <c r="H20" s="86" t="s">
        <v>37</v>
      </c>
      <c r="I20" s="92" t="s">
        <v>117</v>
      </c>
      <c r="J20" s="233" t="s">
        <v>480</v>
      </c>
      <c r="K20" s="213" t="s">
        <v>118</v>
      </c>
      <c r="L20" s="79">
        <v>7</v>
      </c>
      <c r="M20" s="79"/>
      <c r="N20" s="79">
        <v>10</v>
      </c>
      <c r="O20" s="79">
        <v>10</v>
      </c>
      <c r="P20" s="79"/>
      <c r="Q20" s="79">
        <v>10.6</v>
      </c>
      <c r="R20" s="79">
        <v>10.6</v>
      </c>
      <c r="S20" s="79"/>
      <c r="T20" s="79">
        <v>11.3</v>
      </c>
      <c r="U20" s="79">
        <v>11.3</v>
      </c>
      <c r="V20" s="79"/>
      <c r="W20" s="4"/>
      <c r="X20" s="4"/>
      <c r="Y20" s="4"/>
      <c r="Z20" s="4"/>
      <c r="AA20" s="4"/>
      <c r="AB20" s="4"/>
      <c r="AC20" s="4"/>
      <c r="AD20" s="4"/>
      <c r="AE20" s="4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293"/>
      <c r="BA20" s="291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287"/>
      <c r="BS20" s="4"/>
      <c r="BT20" s="4"/>
      <c r="BU20" s="4"/>
      <c r="BV20" s="4"/>
      <c r="BW20" s="4"/>
      <c r="BX20" s="279"/>
      <c r="BY20" s="280"/>
      <c r="BZ20" s="281"/>
      <c r="CA20" s="280"/>
      <c r="CB20" s="281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59" customHeight="1">
      <c r="A21" s="73" t="s">
        <v>119</v>
      </c>
      <c r="B21" s="91" t="s">
        <v>305</v>
      </c>
      <c r="C21" s="91"/>
      <c r="D21" s="91"/>
      <c r="E21" s="86" t="s">
        <v>41</v>
      </c>
      <c r="F21" s="86" t="s">
        <v>4</v>
      </c>
      <c r="G21" s="86" t="s">
        <v>310</v>
      </c>
      <c r="H21" s="86" t="s">
        <v>37</v>
      </c>
      <c r="I21" s="92" t="s">
        <v>120</v>
      </c>
      <c r="J21" s="233" t="s">
        <v>479</v>
      </c>
      <c r="K21" s="213" t="s">
        <v>121</v>
      </c>
      <c r="L21" s="79">
        <v>125.3</v>
      </c>
      <c r="M21" s="79"/>
      <c r="N21" s="79">
        <v>130</v>
      </c>
      <c r="O21" s="79">
        <v>130</v>
      </c>
      <c r="P21" s="79"/>
      <c r="Q21" s="79">
        <v>138.3</v>
      </c>
      <c r="R21" s="79">
        <v>138.3</v>
      </c>
      <c r="S21" s="79"/>
      <c r="T21" s="79">
        <v>146.9</v>
      </c>
      <c r="U21" s="79">
        <v>146.9</v>
      </c>
      <c r="V21" s="79"/>
      <c r="W21" s="4"/>
      <c r="X21" s="4"/>
      <c r="Y21" s="4"/>
      <c r="Z21" s="4"/>
      <c r="AA21" s="4"/>
      <c r="AB21" s="4"/>
      <c r="AC21" s="4"/>
      <c r="AD21" s="4"/>
      <c r="AE21" s="4"/>
      <c r="AF21" s="29"/>
      <c r="AG21" s="19"/>
      <c r="AH21" s="29"/>
      <c r="AI21" s="29"/>
      <c r="AJ21" s="29"/>
      <c r="AK21" s="29"/>
      <c r="AL21" s="29"/>
      <c r="AM21" s="29"/>
      <c r="AN21" s="19"/>
      <c r="AO21" s="29"/>
      <c r="AP21" s="294"/>
      <c r="AQ21" s="29"/>
      <c r="AR21" s="29"/>
      <c r="AS21" s="29"/>
      <c r="AT21" s="29"/>
      <c r="AU21" s="19"/>
      <c r="AV21" s="29"/>
      <c r="AW21" s="29"/>
      <c r="AX21" s="29"/>
      <c r="AY21" s="29"/>
      <c r="AZ21" s="29"/>
      <c r="BA21" s="29"/>
      <c r="BB21" s="19"/>
      <c r="BC21" s="19"/>
      <c r="BD21" s="29"/>
      <c r="BE21" s="29"/>
      <c r="BF21" s="29"/>
      <c r="BG21" s="29"/>
      <c r="BH21" s="19"/>
      <c r="BI21" s="29"/>
      <c r="BJ21" s="29"/>
      <c r="BK21" s="29"/>
      <c r="BL21" s="29"/>
      <c r="BM21" s="29"/>
      <c r="BN21" s="29"/>
      <c r="BO21" s="29"/>
      <c r="BP21" s="29"/>
      <c r="BQ21" s="19"/>
      <c r="BR21" s="278"/>
      <c r="BS21" s="4"/>
      <c r="BT21" s="4"/>
      <c r="BU21" s="4"/>
      <c r="BV21" s="4"/>
      <c r="BW21" s="4"/>
      <c r="BX21" s="279"/>
      <c r="BY21" s="280"/>
      <c r="BZ21" s="281"/>
      <c r="CA21" s="280"/>
      <c r="CB21" s="281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68" customHeight="1">
      <c r="A22" s="73" t="s">
        <v>122</v>
      </c>
      <c r="B22" s="91" t="s">
        <v>304</v>
      </c>
      <c r="C22" s="91"/>
      <c r="D22" s="91"/>
      <c r="E22" s="86" t="s">
        <v>41</v>
      </c>
      <c r="F22" s="86" t="s">
        <v>4</v>
      </c>
      <c r="G22" s="86" t="s">
        <v>367</v>
      </c>
      <c r="H22" s="86" t="s">
        <v>37</v>
      </c>
      <c r="I22" s="92" t="s">
        <v>123</v>
      </c>
      <c r="J22" s="233" t="s">
        <v>478</v>
      </c>
      <c r="K22" s="213" t="s">
        <v>121</v>
      </c>
      <c r="L22" s="79">
        <v>22.5</v>
      </c>
      <c r="M22" s="79"/>
      <c r="N22" s="79">
        <v>18</v>
      </c>
      <c r="O22" s="79">
        <v>18</v>
      </c>
      <c r="P22" s="79"/>
      <c r="Q22" s="79">
        <v>19.2</v>
      </c>
      <c r="R22" s="79">
        <v>19.2</v>
      </c>
      <c r="S22" s="79"/>
      <c r="T22" s="79">
        <v>20.3</v>
      </c>
      <c r="U22" s="79">
        <v>20.3</v>
      </c>
      <c r="V22" s="79"/>
      <c r="W22" s="4"/>
      <c r="X22" s="4"/>
      <c r="Y22" s="4"/>
      <c r="Z22" s="4"/>
      <c r="AA22" s="4"/>
      <c r="AB22" s="4"/>
      <c r="AC22" s="4"/>
      <c r="AD22" s="4"/>
      <c r="AE22" s="4"/>
      <c r="AF22" s="29"/>
      <c r="AG22" s="19"/>
      <c r="AH22" s="277"/>
      <c r="AI22" s="277"/>
      <c r="AJ22" s="29"/>
      <c r="AK22" s="277"/>
      <c r="AL22" s="29"/>
      <c r="AM22" s="29"/>
      <c r="AN22" s="19"/>
      <c r="AO22" s="29"/>
      <c r="AP22" s="277"/>
      <c r="AQ22" s="29"/>
      <c r="AR22" s="29"/>
      <c r="AS22" s="29"/>
      <c r="AT22" s="29"/>
      <c r="AU22" s="19"/>
      <c r="AV22" s="29"/>
      <c r="AW22" s="29"/>
      <c r="AX22" s="29"/>
      <c r="AY22" s="277"/>
      <c r="AZ22" s="277"/>
      <c r="BA22" s="277"/>
      <c r="BB22" s="19"/>
      <c r="BC22" s="19"/>
      <c r="BD22" s="29"/>
      <c r="BE22" s="29"/>
      <c r="BF22" s="277"/>
      <c r="BG22" s="29"/>
      <c r="BH22" s="19"/>
      <c r="BI22" s="29"/>
      <c r="BJ22" s="29"/>
      <c r="BK22" s="29"/>
      <c r="BL22" s="277"/>
      <c r="BM22" s="29"/>
      <c r="BN22" s="29"/>
      <c r="BO22" s="277"/>
      <c r="BP22" s="277"/>
      <c r="BQ22" s="19"/>
      <c r="BR22" s="285"/>
      <c r="BS22" s="4"/>
      <c r="BT22" s="4"/>
      <c r="BU22" s="4"/>
      <c r="BV22" s="4"/>
      <c r="BW22" s="4"/>
      <c r="BX22" s="279"/>
      <c r="BY22" s="280"/>
      <c r="BZ22" s="281"/>
      <c r="CA22" s="280"/>
      <c r="CB22" s="281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80" ht="12.75">
      <c r="A23" s="364" t="s">
        <v>124</v>
      </c>
      <c r="B23" s="95" t="s">
        <v>125</v>
      </c>
      <c r="C23" s="96"/>
      <c r="D23" s="96"/>
      <c r="E23" s="97"/>
      <c r="F23" s="97"/>
      <c r="G23" s="97"/>
      <c r="H23" s="97"/>
      <c r="I23" s="98"/>
      <c r="J23" s="214"/>
      <c r="K23" s="207"/>
      <c r="L23" s="99">
        <f>SUM(L24)</f>
        <v>708.8000000000001</v>
      </c>
      <c r="M23" s="99"/>
      <c r="N23" s="99">
        <f aca="true" t="shared" si="5" ref="N23:V23">SUM(N24)</f>
        <v>490.70000000000005</v>
      </c>
      <c r="O23" s="99">
        <f t="shared" si="5"/>
        <v>490.70000000000005</v>
      </c>
      <c r="P23" s="99">
        <f t="shared" si="5"/>
        <v>0</v>
      </c>
      <c r="Q23" s="99">
        <f t="shared" si="5"/>
        <v>522.1</v>
      </c>
      <c r="R23" s="99">
        <f t="shared" si="5"/>
        <v>522.1</v>
      </c>
      <c r="S23" s="99">
        <f t="shared" si="5"/>
        <v>0</v>
      </c>
      <c r="T23" s="99">
        <f t="shared" si="5"/>
        <v>554.5</v>
      </c>
      <c r="U23" s="99">
        <f t="shared" si="5"/>
        <v>554.5</v>
      </c>
      <c r="V23" s="99">
        <f t="shared" si="5"/>
        <v>0</v>
      </c>
      <c r="W23" s="295"/>
      <c r="X23" s="295"/>
      <c r="Y23" s="295"/>
      <c r="Z23" s="295"/>
      <c r="AA23" s="295"/>
      <c r="AB23" s="295"/>
      <c r="AC23" s="295"/>
      <c r="AD23" s="295"/>
      <c r="AE23" s="295"/>
      <c r="AF23" s="29"/>
      <c r="AG23" s="19"/>
      <c r="AH23" s="29"/>
      <c r="AI23" s="29"/>
      <c r="AJ23" s="29"/>
      <c r="AK23" s="29"/>
      <c r="AL23" s="29"/>
      <c r="AM23" s="29"/>
      <c r="AN23" s="19"/>
      <c r="AO23" s="29"/>
      <c r="AP23" s="29"/>
      <c r="AQ23" s="29"/>
      <c r="AR23" s="29"/>
      <c r="AS23" s="29"/>
      <c r="AT23" s="29"/>
      <c r="AU23" s="19"/>
      <c r="AV23" s="29"/>
      <c r="AW23" s="277"/>
      <c r="AX23" s="29"/>
      <c r="AY23" s="29"/>
      <c r="AZ23" s="29"/>
      <c r="BA23" s="277"/>
      <c r="BB23" s="19"/>
      <c r="BC23" s="19"/>
      <c r="BD23" s="29"/>
      <c r="BE23" s="29"/>
      <c r="BF23" s="29"/>
      <c r="BG23" s="29"/>
      <c r="BH23" s="19"/>
      <c r="BI23" s="29"/>
      <c r="BJ23" s="29"/>
      <c r="BK23" s="29"/>
      <c r="BL23" s="29"/>
      <c r="BM23" s="29"/>
      <c r="BN23" s="29"/>
      <c r="BO23" s="29"/>
      <c r="BP23" s="29"/>
      <c r="BQ23" s="19"/>
      <c r="BR23" s="287"/>
      <c r="BS23" s="4"/>
      <c r="BT23" s="4"/>
      <c r="BU23" s="4"/>
      <c r="BV23" s="4"/>
      <c r="BW23" s="4"/>
      <c r="BX23" s="279"/>
      <c r="BY23" s="280"/>
      <c r="BZ23" s="281"/>
      <c r="CA23" s="280"/>
      <c r="CB23" s="281"/>
    </row>
    <row r="24" spans="1:80" ht="88.5" customHeight="1">
      <c r="A24" s="365" t="s">
        <v>126</v>
      </c>
      <c r="B24" s="366" t="s">
        <v>54</v>
      </c>
      <c r="C24" s="367" t="s">
        <v>86</v>
      </c>
      <c r="D24" s="367"/>
      <c r="E24" s="368"/>
      <c r="F24" s="368"/>
      <c r="G24" s="368"/>
      <c r="H24" s="368"/>
      <c r="I24" s="369"/>
      <c r="J24" s="370"/>
      <c r="K24" s="208"/>
      <c r="L24" s="371">
        <f>SUM(L25:L29)</f>
        <v>708.8000000000001</v>
      </c>
      <c r="M24" s="371"/>
      <c r="N24" s="371">
        <f>SUM(N25:N28)</f>
        <v>490.70000000000005</v>
      </c>
      <c r="O24" s="371">
        <f aca="true" t="shared" si="6" ref="O24:V24">SUM(O25:O28)</f>
        <v>490.70000000000005</v>
      </c>
      <c r="P24" s="371">
        <f t="shared" si="6"/>
        <v>0</v>
      </c>
      <c r="Q24" s="371">
        <f t="shared" si="6"/>
        <v>522.1</v>
      </c>
      <c r="R24" s="371">
        <f t="shared" si="6"/>
        <v>522.1</v>
      </c>
      <c r="S24" s="371">
        <f t="shared" si="6"/>
        <v>0</v>
      </c>
      <c r="T24" s="371">
        <f t="shared" si="6"/>
        <v>554.5</v>
      </c>
      <c r="U24" s="371">
        <f t="shared" si="6"/>
        <v>554.5</v>
      </c>
      <c r="V24" s="371">
        <f t="shared" si="6"/>
        <v>0</v>
      </c>
      <c r="W24" s="4"/>
      <c r="X24" s="4"/>
      <c r="Y24" s="4"/>
      <c r="Z24" s="4"/>
      <c r="AA24" s="4"/>
      <c r="AB24" s="4"/>
      <c r="AC24" s="4"/>
      <c r="AD24" s="4"/>
      <c r="AE24" s="4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9"/>
      <c r="AU24" s="19"/>
      <c r="AV24" s="293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278"/>
      <c r="BS24" s="4"/>
      <c r="BT24" s="4"/>
      <c r="BU24" s="4"/>
      <c r="BV24" s="4"/>
      <c r="BW24" s="4"/>
      <c r="BX24" s="279"/>
      <c r="BY24" s="280"/>
      <c r="BZ24" s="281"/>
      <c r="CA24" s="280"/>
      <c r="CB24" s="281"/>
    </row>
    <row r="25" spans="1:81" s="201" customFormat="1" ht="162.75" customHeight="1">
      <c r="A25" s="73" t="s">
        <v>131</v>
      </c>
      <c r="B25" s="191" t="s">
        <v>343</v>
      </c>
      <c r="C25" s="91"/>
      <c r="D25" s="91"/>
      <c r="E25" s="86" t="s">
        <v>606</v>
      </c>
      <c r="F25" s="86" t="s">
        <v>607</v>
      </c>
      <c r="G25" s="86" t="s">
        <v>608</v>
      </c>
      <c r="H25" s="86" t="s">
        <v>609</v>
      </c>
      <c r="I25" s="92" t="s">
        <v>432</v>
      </c>
      <c r="J25" s="233" t="s">
        <v>431</v>
      </c>
      <c r="K25" s="225" t="s">
        <v>430</v>
      </c>
      <c r="L25" s="122">
        <f>SUM(41+208.8+108.8+100)</f>
        <v>458.6</v>
      </c>
      <c r="M25" s="122"/>
      <c r="N25" s="122">
        <v>397.1</v>
      </c>
      <c r="O25" s="122">
        <v>397.1</v>
      </c>
      <c r="P25" s="122"/>
      <c r="Q25" s="122">
        <v>422.5</v>
      </c>
      <c r="R25" s="122">
        <v>422.5</v>
      </c>
      <c r="S25" s="122"/>
      <c r="T25" s="122">
        <v>448.7</v>
      </c>
      <c r="U25" s="122">
        <v>448.7</v>
      </c>
      <c r="V25" s="122"/>
      <c r="W25" s="296"/>
      <c r="X25" s="296"/>
      <c r="Y25" s="296"/>
      <c r="Z25" s="296"/>
      <c r="AA25" s="296"/>
      <c r="AB25" s="296"/>
      <c r="AC25" s="296"/>
      <c r="AD25" s="296"/>
      <c r="AE25" s="296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0"/>
      <c r="AU25" s="292"/>
      <c r="AV25" s="297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8"/>
      <c r="BS25" s="296"/>
      <c r="BT25" s="296"/>
      <c r="BU25" s="296"/>
      <c r="BV25" s="296"/>
      <c r="BW25" s="296"/>
      <c r="BX25" s="299"/>
      <c r="BY25" s="300"/>
      <c r="BZ25" s="301"/>
      <c r="CA25" s="300"/>
      <c r="CB25" s="301"/>
      <c r="CC25" s="264"/>
    </row>
    <row r="26" spans="1:81" s="201" customFormat="1" ht="126.75" customHeight="1">
      <c r="A26" s="73" t="s">
        <v>132</v>
      </c>
      <c r="B26" s="191" t="s">
        <v>344</v>
      </c>
      <c r="C26" s="91"/>
      <c r="D26" s="91"/>
      <c r="E26" s="86" t="s">
        <v>41</v>
      </c>
      <c r="F26" s="86" t="s">
        <v>4</v>
      </c>
      <c r="G26" s="86" t="s">
        <v>347</v>
      </c>
      <c r="H26" s="86" t="s">
        <v>127</v>
      </c>
      <c r="I26" s="92" t="s">
        <v>133</v>
      </c>
      <c r="J26" s="233" t="s">
        <v>134</v>
      </c>
      <c r="K26" s="215" t="s">
        <v>135</v>
      </c>
      <c r="L26" s="122">
        <v>78.1</v>
      </c>
      <c r="M26" s="122"/>
      <c r="N26" s="122">
        <v>93.6</v>
      </c>
      <c r="O26" s="122">
        <v>93.6</v>
      </c>
      <c r="P26" s="122"/>
      <c r="Q26" s="122">
        <v>99.6</v>
      </c>
      <c r="R26" s="122">
        <v>99.6</v>
      </c>
      <c r="S26" s="122"/>
      <c r="T26" s="122">
        <v>105.8</v>
      </c>
      <c r="U26" s="122">
        <v>105.8</v>
      </c>
      <c r="V26" s="122"/>
      <c r="W26" s="296"/>
      <c r="X26" s="296"/>
      <c r="Y26" s="296"/>
      <c r="Z26" s="296"/>
      <c r="AA26" s="296"/>
      <c r="AB26" s="296"/>
      <c r="AC26" s="296"/>
      <c r="AD26" s="296"/>
      <c r="AE26" s="296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0"/>
      <c r="AU26" s="292"/>
      <c r="AV26" s="297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8"/>
      <c r="BS26" s="296"/>
      <c r="BT26" s="296"/>
      <c r="BU26" s="296"/>
      <c r="BV26" s="296"/>
      <c r="BW26" s="296"/>
      <c r="BX26" s="299"/>
      <c r="BY26" s="300"/>
      <c r="BZ26" s="301"/>
      <c r="CA26" s="300"/>
      <c r="CB26" s="301"/>
      <c r="CC26" s="264"/>
    </row>
    <row r="27" spans="1:90" ht="68.25" customHeight="1">
      <c r="A27" s="372">
        <v>1.12</v>
      </c>
      <c r="B27" s="94" t="s">
        <v>136</v>
      </c>
      <c r="C27" s="91"/>
      <c r="D27" s="91"/>
      <c r="E27" s="86" t="s">
        <v>41</v>
      </c>
      <c r="F27" s="86" t="s">
        <v>4</v>
      </c>
      <c r="G27" s="86" t="s">
        <v>311</v>
      </c>
      <c r="H27" s="86" t="s">
        <v>127</v>
      </c>
      <c r="I27" s="92" t="s">
        <v>137</v>
      </c>
      <c r="J27" s="233" t="s">
        <v>473</v>
      </c>
      <c r="K27" s="215" t="s">
        <v>130</v>
      </c>
      <c r="L27" s="79">
        <v>77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4"/>
      <c r="X27" s="4"/>
      <c r="Y27" s="4"/>
      <c r="Z27" s="4"/>
      <c r="AA27" s="4"/>
      <c r="AB27" s="4"/>
      <c r="AC27" s="4"/>
      <c r="AD27" s="4"/>
      <c r="AE27" s="4"/>
      <c r="AF27" s="29"/>
      <c r="AG27" s="19"/>
      <c r="AH27" s="29"/>
      <c r="AI27" s="29"/>
      <c r="AJ27" s="29"/>
      <c r="AK27" s="29"/>
      <c r="AL27" s="29"/>
      <c r="AM27" s="29"/>
      <c r="AN27" s="19"/>
      <c r="AO27" s="29"/>
      <c r="AP27" s="29"/>
      <c r="AQ27" s="29"/>
      <c r="AR27" s="29"/>
      <c r="AS27" s="29"/>
      <c r="AT27" s="29"/>
      <c r="AU27" s="19"/>
      <c r="AV27" s="29"/>
      <c r="AW27" s="302"/>
      <c r="AX27" s="29"/>
      <c r="AY27" s="29"/>
      <c r="AZ27" s="29"/>
      <c r="BA27" s="29"/>
      <c r="BB27" s="19"/>
      <c r="BC27" s="19"/>
      <c r="BD27" s="29"/>
      <c r="BE27" s="29"/>
      <c r="BF27" s="29"/>
      <c r="BG27" s="29"/>
      <c r="BH27" s="19"/>
      <c r="BI27" s="29"/>
      <c r="BJ27" s="29"/>
      <c r="BK27" s="29"/>
      <c r="BL27" s="29"/>
      <c r="BM27" s="29"/>
      <c r="BN27" s="29"/>
      <c r="BO27" s="29"/>
      <c r="BP27" s="29"/>
      <c r="BQ27" s="19"/>
      <c r="BR27" s="278"/>
      <c r="BS27" s="4"/>
      <c r="BT27" s="4"/>
      <c r="BU27" s="4"/>
      <c r="BV27" s="4"/>
      <c r="BW27" s="4"/>
      <c r="BX27" s="279"/>
      <c r="BY27" s="280"/>
      <c r="BZ27" s="281"/>
      <c r="CA27" s="280"/>
      <c r="CB27" s="281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ht="145.5" customHeight="1">
      <c r="A28" s="372"/>
      <c r="B28" s="191" t="s">
        <v>368</v>
      </c>
      <c r="C28" s="91"/>
      <c r="D28" s="91"/>
      <c r="E28" s="86" t="s">
        <v>41</v>
      </c>
      <c r="F28" s="86" t="s">
        <v>4</v>
      </c>
      <c r="G28" s="86" t="s">
        <v>369</v>
      </c>
      <c r="H28" s="86" t="s">
        <v>127</v>
      </c>
      <c r="I28" s="92" t="s">
        <v>433</v>
      </c>
      <c r="J28" s="233" t="s">
        <v>434</v>
      </c>
      <c r="K28" s="215" t="s">
        <v>435</v>
      </c>
      <c r="L28" s="79">
        <v>78.1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4"/>
      <c r="X28" s="4"/>
      <c r="Y28" s="4"/>
      <c r="Z28" s="4"/>
      <c r="AA28" s="4"/>
      <c r="AB28" s="4"/>
      <c r="AC28" s="4"/>
      <c r="AD28" s="4"/>
      <c r="AE28" s="4"/>
      <c r="AF28" s="29"/>
      <c r="AG28" s="19"/>
      <c r="AH28" s="29"/>
      <c r="AI28" s="29"/>
      <c r="AJ28" s="29"/>
      <c r="AK28" s="29"/>
      <c r="AL28" s="29"/>
      <c r="AM28" s="29"/>
      <c r="AN28" s="19"/>
      <c r="AO28" s="29"/>
      <c r="AP28" s="29"/>
      <c r="AQ28" s="29"/>
      <c r="AR28" s="29"/>
      <c r="AS28" s="29"/>
      <c r="AT28" s="29"/>
      <c r="AU28" s="19"/>
      <c r="AV28" s="29"/>
      <c r="AW28" s="302"/>
      <c r="AX28" s="29"/>
      <c r="AY28" s="29"/>
      <c r="AZ28" s="29"/>
      <c r="BA28" s="29"/>
      <c r="BB28" s="19"/>
      <c r="BC28" s="19"/>
      <c r="BD28" s="29"/>
      <c r="BE28" s="29"/>
      <c r="BF28" s="29"/>
      <c r="BG28" s="29"/>
      <c r="BH28" s="19"/>
      <c r="BI28" s="29"/>
      <c r="BJ28" s="29"/>
      <c r="BK28" s="29"/>
      <c r="BL28" s="29"/>
      <c r="BM28" s="29"/>
      <c r="BN28" s="29"/>
      <c r="BO28" s="29"/>
      <c r="BP28" s="29"/>
      <c r="BQ28" s="19"/>
      <c r="BR28" s="278"/>
      <c r="BS28" s="4"/>
      <c r="BT28" s="4"/>
      <c r="BU28" s="4"/>
      <c r="BV28" s="4"/>
      <c r="BW28" s="4"/>
      <c r="BX28" s="279"/>
      <c r="BY28" s="280"/>
      <c r="BZ28" s="281"/>
      <c r="CA28" s="280"/>
      <c r="CB28" s="281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ht="192" customHeight="1">
      <c r="A29" s="74"/>
      <c r="B29" s="191" t="s">
        <v>111</v>
      </c>
      <c r="C29" s="85"/>
      <c r="D29" s="85"/>
      <c r="E29" s="76" t="s">
        <v>41</v>
      </c>
      <c r="F29" s="76" t="s">
        <v>4</v>
      </c>
      <c r="G29" s="76" t="s">
        <v>307</v>
      </c>
      <c r="H29" s="76" t="s">
        <v>127</v>
      </c>
      <c r="I29" s="87" t="s">
        <v>495</v>
      </c>
      <c r="J29" s="211" t="s">
        <v>588</v>
      </c>
      <c r="K29" s="211" t="s">
        <v>107</v>
      </c>
      <c r="L29" s="111">
        <v>17</v>
      </c>
      <c r="M29" s="111"/>
      <c r="N29" s="110"/>
      <c r="O29" s="110"/>
      <c r="P29" s="110"/>
      <c r="Q29" s="111"/>
      <c r="R29" s="111"/>
      <c r="S29" s="111"/>
      <c r="T29" s="111"/>
      <c r="U29" s="111"/>
      <c r="V29" s="111"/>
      <c r="W29" s="4"/>
      <c r="X29" s="4"/>
      <c r="Y29" s="4"/>
      <c r="Z29" s="4"/>
      <c r="AA29" s="4"/>
      <c r="AB29" s="4"/>
      <c r="AC29" s="4"/>
      <c r="AD29" s="4"/>
      <c r="AE29" s="4"/>
      <c r="AF29" s="29"/>
      <c r="AG29" s="19"/>
      <c r="AH29" s="277"/>
      <c r="AI29" s="277"/>
      <c r="AJ29" s="277"/>
      <c r="AK29" s="277"/>
      <c r="AL29" s="29"/>
      <c r="AM29" s="29"/>
      <c r="AN29" s="19"/>
      <c r="AO29" s="277"/>
      <c r="AP29" s="277"/>
      <c r="AQ29" s="29"/>
      <c r="AR29" s="277"/>
      <c r="AS29" s="277"/>
      <c r="AT29" s="277"/>
      <c r="AU29" s="19"/>
      <c r="AV29" s="29"/>
      <c r="AW29" s="29"/>
      <c r="AX29" s="4"/>
      <c r="AY29" s="277"/>
      <c r="AZ29" s="277"/>
      <c r="BA29" s="277"/>
      <c r="BB29" s="19"/>
      <c r="BC29" s="19"/>
      <c r="BD29" s="29"/>
      <c r="BE29" s="29"/>
      <c r="BF29" s="29"/>
      <c r="BG29" s="29"/>
      <c r="BH29" s="19"/>
      <c r="BI29" s="277"/>
      <c r="BJ29" s="277"/>
      <c r="BK29" s="277"/>
      <c r="BL29" s="29"/>
      <c r="BM29" s="29"/>
      <c r="BN29" s="277"/>
      <c r="BO29" s="277"/>
      <c r="BP29" s="277"/>
      <c r="BQ29" s="19"/>
      <c r="BR29" s="278"/>
      <c r="BS29" s="4"/>
      <c r="BT29" s="4"/>
      <c r="BU29" s="4"/>
      <c r="BV29" s="4"/>
      <c r="BW29" s="4"/>
      <c r="BX29" s="279"/>
      <c r="BY29" s="280"/>
      <c r="BZ29" s="281"/>
      <c r="CA29" s="280"/>
      <c r="CB29" s="281"/>
      <c r="CC29" s="21"/>
      <c r="CD29" s="21"/>
      <c r="CE29" s="21"/>
      <c r="CF29" s="21"/>
      <c r="CG29" s="21"/>
      <c r="CH29" s="21"/>
      <c r="CI29" s="21"/>
      <c r="CJ29" s="21"/>
      <c r="CK29" s="21"/>
      <c r="CL29" s="21"/>
    </row>
    <row r="30" spans="1:90" ht="24" customHeight="1">
      <c r="A30" s="101" t="s">
        <v>139</v>
      </c>
      <c r="B30" s="373" t="s">
        <v>140</v>
      </c>
      <c r="C30" s="373"/>
      <c r="D30" s="373"/>
      <c r="E30" s="373"/>
      <c r="F30" s="373"/>
      <c r="G30" s="373"/>
      <c r="H30" s="373"/>
      <c r="I30" s="373"/>
      <c r="J30" s="216"/>
      <c r="K30" s="216"/>
      <c r="L30" s="69">
        <f>SUM(L31+L33)</f>
        <v>116960.8</v>
      </c>
      <c r="M30" s="69"/>
      <c r="N30" s="69">
        <f aca="true" t="shared" si="7" ref="N30:V30">SUM(N31+N33)</f>
        <v>51279.5</v>
      </c>
      <c r="O30" s="69">
        <f t="shared" si="7"/>
        <v>51279.5</v>
      </c>
      <c r="P30" s="69">
        <f t="shared" si="7"/>
        <v>0</v>
      </c>
      <c r="Q30" s="69">
        <f t="shared" si="7"/>
        <v>54313.7</v>
      </c>
      <c r="R30" s="69">
        <f t="shared" si="7"/>
        <v>54313.7</v>
      </c>
      <c r="S30" s="69">
        <f t="shared" si="7"/>
        <v>0</v>
      </c>
      <c r="T30" s="69">
        <f t="shared" si="7"/>
        <v>56131.5</v>
      </c>
      <c r="U30" s="69">
        <f t="shared" si="7"/>
        <v>56131.5</v>
      </c>
      <c r="V30" s="69">
        <f t="shared" si="7"/>
        <v>0</v>
      </c>
      <c r="W30" s="4"/>
      <c r="X30" s="4"/>
      <c r="Y30" s="4"/>
      <c r="Z30" s="4"/>
      <c r="AA30" s="4"/>
      <c r="AB30" s="4"/>
      <c r="AC30" s="4"/>
      <c r="AD30" s="4"/>
      <c r="AE30" s="4"/>
      <c r="AF30" s="29"/>
      <c r="AG30" s="19"/>
      <c r="AH30" s="303"/>
      <c r="AI30" s="303"/>
      <c r="AJ30" s="303"/>
      <c r="AK30" s="303"/>
      <c r="AL30" s="303"/>
      <c r="AM30" s="303"/>
      <c r="AN30" s="19"/>
      <c r="AO30" s="29"/>
      <c r="AP30" s="304"/>
      <c r="AQ30" s="29"/>
      <c r="AR30" s="29"/>
      <c r="AS30" s="29"/>
      <c r="AT30" s="29"/>
      <c r="AU30" s="19"/>
      <c r="AV30" s="29"/>
      <c r="AW30" s="29"/>
      <c r="AX30" s="29"/>
      <c r="AY30" s="29"/>
      <c r="AZ30" s="29"/>
      <c r="BA30" s="29"/>
      <c r="BB30" s="19"/>
      <c r="BC30" s="19"/>
      <c r="BD30" s="29"/>
      <c r="BE30" s="29"/>
      <c r="BF30" s="29"/>
      <c r="BG30" s="305"/>
      <c r="BH30" s="19"/>
      <c r="BI30" s="29"/>
      <c r="BJ30" s="29"/>
      <c r="BK30" s="29"/>
      <c r="BL30" s="29"/>
      <c r="BM30" s="29"/>
      <c r="BN30" s="29"/>
      <c r="BO30" s="29"/>
      <c r="BP30" s="29"/>
      <c r="BQ30" s="19"/>
      <c r="BR30" s="306"/>
      <c r="BS30" s="4"/>
      <c r="BT30" s="4"/>
      <c r="BU30" s="4"/>
      <c r="BV30" s="4"/>
      <c r="BW30" s="4"/>
      <c r="BX30" s="279"/>
      <c r="BY30" s="280"/>
      <c r="BZ30" s="281"/>
      <c r="CA30" s="280"/>
      <c r="CB30" s="281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12.75">
      <c r="A31" s="103" t="s">
        <v>0</v>
      </c>
      <c r="B31" s="103" t="s">
        <v>141</v>
      </c>
      <c r="C31" s="103"/>
      <c r="D31" s="103"/>
      <c r="E31" s="104"/>
      <c r="F31" s="104"/>
      <c r="G31" s="104"/>
      <c r="H31" s="104"/>
      <c r="I31" s="105"/>
      <c r="J31" s="217"/>
      <c r="K31" s="217"/>
      <c r="L31" s="106">
        <f>SUM(L32)</f>
        <v>20575.2</v>
      </c>
      <c r="M31" s="249"/>
      <c r="N31" s="106">
        <f>SUM(N32)</f>
        <v>23412.4</v>
      </c>
      <c r="O31" s="106">
        <f aca="true" t="shared" si="8" ref="O31:V31">SUM(O32)</f>
        <v>23412.4</v>
      </c>
      <c r="P31" s="106">
        <f t="shared" si="8"/>
        <v>0</v>
      </c>
      <c r="Q31" s="106">
        <f t="shared" si="8"/>
        <v>24111.5</v>
      </c>
      <c r="R31" s="106">
        <f t="shared" si="8"/>
        <v>24111.5</v>
      </c>
      <c r="S31" s="106">
        <f t="shared" si="8"/>
        <v>0</v>
      </c>
      <c r="T31" s="106">
        <f t="shared" si="8"/>
        <v>24832.1</v>
      </c>
      <c r="U31" s="106">
        <f t="shared" si="8"/>
        <v>24832.1</v>
      </c>
      <c r="V31" s="106">
        <f t="shared" si="8"/>
        <v>0</v>
      </c>
      <c r="W31" s="4"/>
      <c r="X31" s="4"/>
      <c r="Y31" s="4"/>
      <c r="Z31" s="4"/>
      <c r="AA31" s="4"/>
      <c r="AB31" s="4"/>
      <c r="AC31" s="4"/>
      <c r="AD31" s="4"/>
      <c r="AE31" s="4"/>
      <c r="AF31" s="29"/>
      <c r="AG31" s="19"/>
      <c r="AH31" s="303"/>
      <c r="AI31" s="303"/>
      <c r="AJ31" s="303"/>
      <c r="AK31" s="303"/>
      <c r="AL31" s="303"/>
      <c r="AM31" s="303"/>
      <c r="AN31" s="19"/>
      <c r="AO31" s="29"/>
      <c r="AP31" s="304"/>
      <c r="AQ31" s="29"/>
      <c r="AR31" s="29"/>
      <c r="AS31" s="29"/>
      <c r="AT31" s="29"/>
      <c r="AU31" s="19"/>
      <c r="AV31" s="29"/>
      <c r="AW31" s="29"/>
      <c r="AX31" s="29"/>
      <c r="AY31" s="29"/>
      <c r="AZ31" s="29"/>
      <c r="BA31" s="29"/>
      <c r="BB31" s="19"/>
      <c r="BC31" s="19"/>
      <c r="BD31" s="29"/>
      <c r="BE31" s="29"/>
      <c r="BF31" s="29"/>
      <c r="BG31" s="305"/>
      <c r="BH31" s="19"/>
      <c r="BI31" s="29"/>
      <c r="BJ31" s="29"/>
      <c r="BK31" s="29"/>
      <c r="BL31" s="29"/>
      <c r="BM31" s="29"/>
      <c r="BN31" s="29"/>
      <c r="BO31" s="29"/>
      <c r="BP31" s="29"/>
      <c r="BQ31" s="19"/>
      <c r="BR31" s="306"/>
      <c r="BS31" s="279"/>
      <c r="BT31" s="4"/>
      <c r="BU31" s="4"/>
      <c r="BV31" s="4"/>
      <c r="BW31" s="4"/>
      <c r="BX31" s="279"/>
      <c r="BY31" s="280"/>
      <c r="BZ31" s="281"/>
      <c r="CA31" s="280"/>
      <c r="CB31" s="281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174" customHeight="1">
      <c r="A32" s="78" t="s">
        <v>142</v>
      </c>
      <c r="B32" s="78" t="s">
        <v>143</v>
      </c>
      <c r="C32" s="78"/>
      <c r="D32" s="78"/>
      <c r="E32" s="76" t="s">
        <v>144</v>
      </c>
      <c r="F32" s="76" t="s">
        <v>2</v>
      </c>
      <c r="G32" s="76" t="s">
        <v>312</v>
      </c>
      <c r="H32" s="76" t="s">
        <v>313</v>
      </c>
      <c r="I32" s="78" t="s">
        <v>410</v>
      </c>
      <c r="J32" s="209" t="s">
        <v>409</v>
      </c>
      <c r="K32" s="209" t="s">
        <v>145</v>
      </c>
      <c r="L32" s="248">
        <v>20575.2</v>
      </c>
      <c r="M32" s="248"/>
      <c r="N32" s="107">
        <v>23412.4</v>
      </c>
      <c r="O32" s="107">
        <v>23412.4</v>
      </c>
      <c r="P32" s="107"/>
      <c r="Q32" s="107">
        <v>24111.5</v>
      </c>
      <c r="R32" s="107">
        <v>24111.5</v>
      </c>
      <c r="S32" s="107"/>
      <c r="T32" s="107">
        <v>24832.1</v>
      </c>
      <c r="U32" s="107">
        <v>24832.1</v>
      </c>
      <c r="V32" s="107"/>
      <c r="W32" s="4"/>
      <c r="X32" s="4"/>
      <c r="Y32" s="4"/>
      <c r="Z32" s="4"/>
      <c r="AA32" s="4"/>
      <c r="AB32" s="4"/>
      <c r="AC32" s="4"/>
      <c r="AD32" s="4"/>
      <c r="AE32" s="4"/>
      <c r="AF32" s="19"/>
      <c r="AG32" s="19"/>
      <c r="AH32" s="19"/>
      <c r="AI32" s="19"/>
      <c r="AJ32" s="307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83"/>
      <c r="BB32" s="19"/>
      <c r="BC32" s="19"/>
      <c r="BD32" s="19"/>
      <c r="BE32" s="308"/>
      <c r="BF32" s="19"/>
      <c r="BG32" s="19"/>
      <c r="BH32" s="19"/>
      <c r="BI32" s="283"/>
      <c r="BJ32" s="19"/>
      <c r="BK32" s="19"/>
      <c r="BL32" s="19"/>
      <c r="BM32" s="19"/>
      <c r="BN32" s="19"/>
      <c r="BO32" s="283"/>
      <c r="BP32" s="283"/>
      <c r="BQ32" s="19"/>
      <c r="BR32" s="309"/>
      <c r="BS32" s="279"/>
      <c r="BT32" s="4"/>
      <c r="BU32" s="4"/>
      <c r="BV32" s="4"/>
      <c r="BW32" s="4"/>
      <c r="BX32" s="279"/>
      <c r="BY32" s="280"/>
      <c r="BZ32" s="281"/>
      <c r="CA32" s="280"/>
      <c r="CB32" s="281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12.75">
      <c r="A33" s="103">
        <v>3</v>
      </c>
      <c r="B33" s="259" t="s">
        <v>26</v>
      </c>
      <c r="C33" s="259"/>
      <c r="D33" s="259"/>
      <c r="E33" s="259"/>
      <c r="F33" s="259"/>
      <c r="G33" s="259"/>
      <c r="H33" s="259"/>
      <c r="I33" s="105"/>
      <c r="J33" s="217"/>
      <c r="K33" s="217"/>
      <c r="L33" s="106">
        <f>SUM(L34:L49)</f>
        <v>96385.6</v>
      </c>
      <c r="M33" s="106"/>
      <c r="N33" s="106">
        <f aca="true" t="shared" si="9" ref="N33:V33">SUM(N36:N49)</f>
        <v>27867.100000000002</v>
      </c>
      <c r="O33" s="106">
        <f t="shared" si="9"/>
        <v>27867.100000000002</v>
      </c>
      <c r="P33" s="106">
        <f t="shared" si="9"/>
        <v>0</v>
      </c>
      <c r="Q33" s="106">
        <f t="shared" si="9"/>
        <v>30202.2</v>
      </c>
      <c r="R33" s="106">
        <f t="shared" si="9"/>
        <v>30202.2</v>
      </c>
      <c r="S33" s="106">
        <f t="shared" si="9"/>
        <v>0</v>
      </c>
      <c r="T33" s="106">
        <f t="shared" si="9"/>
        <v>31299.4</v>
      </c>
      <c r="U33" s="106">
        <f t="shared" si="9"/>
        <v>31299.4</v>
      </c>
      <c r="V33" s="106">
        <f t="shared" si="9"/>
        <v>0</v>
      </c>
      <c r="W33" s="4"/>
      <c r="X33" s="4"/>
      <c r="Y33" s="4"/>
      <c r="Z33" s="4"/>
      <c r="AA33" s="4"/>
      <c r="AB33" s="4"/>
      <c r="AC33" s="4"/>
      <c r="AD33" s="4"/>
      <c r="AE33" s="4"/>
      <c r="AF33" s="19"/>
      <c r="AG33" s="19"/>
      <c r="AH33" s="283"/>
      <c r="AI33" s="283"/>
      <c r="AJ33" s="310"/>
      <c r="AK33" s="283"/>
      <c r="AL33" s="19"/>
      <c r="AM33" s="19"/>
      <c r="AN33" s="19"/>
      <c r="AO33" s="283"/>
      <c r="AP33" s="283"/>
      <c r="AQ33" s="290"/>
      <c r="AR33" s="297"/>
      <c r="AS33" s="283"/>
      <c r="AT33" s="283"/>
      <c r="AU33" s="19"/>
      <c r="AV33" s="19"/>
      <c r="AW33" s="19"/>
      <c r="AX33" s="4"/>
      <c r="AY33" s="283"/>
      <c r="AZ33" s="283"/>
      <c r="BA33" s="283"/>
      <c r="BB33" s="19"/>
      <c r="BC33" s="19"/>
      <c r="BD33" s="19"/>
      <c r="BE33" s="19"/>
      <c r="BF33" s="19"/>
      <c r="BG33" s="19"/>
      <c r="BH33" s="19"/>
      <c r="BI33" s="283"/>
      <c r="BJ33" s="283"/>
      <c r="BK33" s="283"/>
      <c r="BL33" s="19"/>
      <c r="BM33" s="283"/>
      <c r="BN33" s="283"/>
      <c r="BO33" s="283"/>
      <c r="BP33" s="283"/>
      <c r="BQ33" s="19"/>
      <c r="BR33" s="278"/>
      <c r="BS33" s="4"/>
      <c r="BT33" s="4"/>
      <c r="BU33" s="4"/>
      <c r="BV33" s="4"/>
      <c r="BW33" s="4"/>
      <c r="BX33" s="279"/>
      <c r="BY33" s="280"/>
      <c r="BZ33" s="281"/>
      <c r="CA33" s="280"/>
      <c r="CB33" s="281"/>
      <c r="CC33" s="55">
        <f>SUM(BR33:BR43)</f>
        <v>0</v>
      </c>
      <c r="CD33" s="11">
        <f>SUM(T33:T43)+(X33:X43)</f>
        <v>35358.6</v>
      </c>
      <c r="CE33" s="2"/>
      <c r="CF33" s="2"/>
      <c r="CG33" s="2"/>
      <c r="CH33" s="2"/>
      <c r="CI33" s="2"/>
      <c r="CJ33" s="2"/>
      <c r="CK33" s="2"/>
      <c r="CL33" s="2"/>
    </row>
    <row r="34" spans="1:90" ht="180.75" customHeight="1">
      <c r="A34" s="74"/>
      <c r="B34" s="74" t="s">
        <v>617</v>
      </c>
      <c r="C34" s="246"/>
      <c r="D34" s="246"/>
      <c r="E34" s="108" t="s">
        <v>4</v>
      </c>
      <c r="F34" s="108" t="s">
        <v>41</v>
      </c>
      <c r="G34" s="108" t="s">
        <v>332</v>
      </c>
      <c r="H34" s="108" t="s">
        <v>48</v>
      </c>
      <c r="I34" s="78" t="s">
        <v>618</v>
      </c>
      <c r="J34" s="209" t="s">
        <v>619</v>
      </c>
      <c r="K34" s="209" t="s">
        <v>620</v>
      </c>
      <c r="L34" s="110">
        <v>776.9</v>
      </c>
      <c r="M34" s="110"/>
      <c r="N34" s="111"/>
      <c r="O34" s="111"/>
      <c r="P34" s="111"/>
      <c r="Q34" s="110"/>
      <c r="R34" s="110"/>
      <c r="S34" s="110"/>
      <c r="T34" s="110"/>
      <c r="U34" s="110"/>
      <c r="V34" s="110"/>
      <c r="W34" s="311"/>
      <c r="X34" s="311"/>
      <c r="Y34" s="311"/>
      <c r="Z34" s="311"/>
      <c r="AA34" s="311"/>
      <c r="AB34" s="311"/>
      <c r="AC34" s="311"/>
      <c r="AD34" s="311"/>
      <c r="AE34" s="311"/>
      <c r="AF34" s="29"/>
      <c r="AG34" s="19"/>
      <c r="AH34" s="277"/>
      <c r="AI34" s="277"/>
      <c r="AJ34" s="277"/>
      <c r="AK34" s="277"/>
      <c r="AL34" s="29"/>
      <c r="AM34" s="29"/>
      <c r="AN34" s="19"/>
      <c r="AO34" s="277"/>
      <c r="AP34" s="277"/>
      <c r="AQ34" s="277"/>
      <c r="AR34" s="277"/>
      <c r="AS34" s="277"/>
      <c r="AT34" s="277"/>
      <c r="AU34" s="19"/>
      <c r="AV34" s="29"/>
      <c r="AW34" s="29"/>
      <c r="AX34" s="4"/>
      <c r="AY34" s="277"/>
      <c r="AZ34" s="277"/>
      <c r="BA34" s="277"/>
      <c r="BB34" s="19"/>
      <c r="BC34" s="19"/>
      <c r="BD34" s="29"/>
      <c r="BE34" s="29"/>
      <c r="BF34" s="29"/>
      <c r="BG34" s="29"/>
      <c r="BH34" s="19"/>
      <c r="BI34" s="277"/>
      <c r="BJ34" s="277"/>
      <c r="BK34" s="277"/>
      <c r="BL34" s="29"/>
      <c r="BM34" s="277"/>
      <c r="BN34" s="277"/>
      <c r="BO34" s="277"/>
      <c r="BP34" s="277"/>
      <c r="BQ34" s="19"/>
      <c r="BR34" s="278"/>
      <c r="BS34" s="4"/>
      <c r="BT34" s="4"/>
      <c r="BU34" s="4"/>
      <c r="BV34" s="4"/>
      <c r="BW34" s="4"/>
      <c r="BX34" s="279"/>
      <c r="BY34" s="312"/>
      <c r="BZ34" s="313"/>
      <c r="CA34" s="312"/>
      <c r="CB34" s="313"/>
      <c r="CC34" s="9"/>
      <c r="CD34" s="9"/>
      <c r="CE34" s="9"/>
      <c r="CF34" s="9"/>
      <c r="CG34" s="9"/>
      <c r="CH34" s="9"/>
      <c r="CI34" s="9"/>
      <c r="CJ34" s="9"/>
      <c r="CK34" s="9"/>
      <c r="CL34" s="9"/>
    </row>
    <row r="35" spans="1:90" s="141" customFormat="1" ht="327.75" customHeight="1">
      <c r="A35" s="201"/>
      <c r="B35" s="78" t="s">
        <v>610</v>
      </c>
      <c r="C35" s="192"/>
      <c r="D35" s="192"/>
      <c r="E35" s="76" t="s">
        <v>621</v>
      </c>
      <c r="F35" s="76" t="s">
        <v>622</v>
      </c>
      <c r="G35" s="76" t="s">
        <v>623</v>
      </c>
      <c r="H35" s="76" t="s">
        <v>624</v>
      </c>
      <c r="I35" s="193" t="s">
        <v>611</v>
      </c>
      <c r="J35" s="227" t="s">
        <v>612</v>
      </c>
      <c r="K35" s="227" t="s">
        <v>107</v>
      </c>
      <c r="L35" s="107">
        <f>SUM(220.8+133.1+46.8)</f>
        <v>400.7</v>
      </c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296"/>
      <c r="X35" s="296"/>
      <c r="Y35" s="296"/>
      <c r="Z35" s="296"/>
      <c r="AA35" s="296"/>
      <c r="AB35" s="296"/>
      <c r="AC35" s="296"/>
      <c r="AD35" s="296"/>
      <c r="AE35" s="296"/>
      <c r="AF35" s="292"/>
      <c r="AG35" s="292"/>
      <c r="AH35" s="297"/>
      <c r="AI35" s="297"/>
      <c r="AJ35" s="297"/>
      <c r="AK35" s="297"/>
      <c r="AL35" s="292"/>
      <c r="AM35" s="292"/>
      <c r="AN35" s="292"/>
      <c r="AO35" s="297"/>
      <c r="AP35" s="297"/>
      <c r="AQ35" s="292"/>
      <c r="AR35" s="297"/>
      <c r="AS35" s="297"/>
      <c r="AT35" s="297"/>
      <c r="AU35" s="292"/>
      <c r="AV35" s="292"/>
      <c r="AW35" s="292"/>
      <c r="AX35" s="296"/>
      <c r="AY35" s="297"/>
      <c r="AZ35" s="297"/>
      <c r="BA35" s="297"/>
      <c r="BB35" s="292"/>
      <c r="BC35" s="292"/>
      <c r="BD35" s="292"/>
      <c r="BE35" s="292"/>
      <c r="BF35" s="292"/>
      <c r="BG35" s="292"/>
      <c r="BH35" s="292"/>
      <c r="BI35" s="297"/>
      <c r="BJ35" s="297"/>
      <c r="BK35" s="297"/>
      <c r="BL35" s="292"/>
      <c r="BM35" s="297"/>
      <c r="BN35" s="297"/>
      <c r="BO35" s="297"/>
      <c r="BP35" s="297"/>
      <c r="BQ35" s="292"/>
      <c r="BR35" s="298"/>
      <c r="BS35" s="296"/>
      <c r="BT35" s="296"/>
      <c r="BU35" s="296"/>
      <c r="BV35" s="296"/>
      <c r="BW35" s="296"/>
      <c r="BX35" s="299"/>
      <c r="BY35" s="300"/>
      <c r="BZ35" s="301"/>
      <c r="CA35" s="300"/>
      <c r="CB35" s="301"/>
      <c r="CC35" s="243"/>
      <c r="CD35" s="244"/>
      <c r="CE35" s="245"/>
      <c r="CF35" s="245"/>
      <c r="CG35" s="245"/>
      <c r="CH35" s="245"/>
      <c r="CI35" s="245"/>
      <c r="CJ35" s="245"/>
      <c r="CK35" s="245"/>
      <c r="CL35" s="245"/>
    </row>
    <row r="36" spans="1:90" ht="192" customHeight="1">
      <c r="A36" s="192"/>
      <c r="B36" s="85" t="s">
        <v>411</v>
      </c>
      <c r="C36" s="85"/>
      <c r="D36" s="85"/>
      <c r="E36" s="76" t="s">
        <v>5</v>
      </c>
      <c r="F36" s="76" t="s">
        <v>2</v>
      </c>
      <c r="G36" s="76" t="s">
        <v>370</v>
      </c>
      <c r="H36" s="76" t="s">
        <v>48</v>
      </c>
      <c r="I36" s="109" t="s">
        <v>438</v>
      </c>
      <c r="J36" s="209" t="s">
        <v>436</v>
      </c>
      <c r="K36" s="209" t="s">
        <v>437</v>
      </c>
      <c r="L36" s="111">
        <v>300</v>
      </c>
      <c r="M36" s="111"/>
      <c r="N36" s="110">
        <v>70</v>
      </c>
      <c r="O36" s="110">
        <v>70</v>
      </c>
      <c r="P36" s="110"/>
      <c r="Q36" s="111">
        <v>74.5</v>
      </c>
      <c r="R36" s="111">
        <v>74.5</v>
      </c>
      <c r="S36" s="111"/>
      <c r="T36" s="111">
        <v>79.1</v>
      </c>
      <c r="U36" s="111">
        <v>79.1</v>
      </c>
      <c r="V36" s="111"/>
      <c r="W36" s="4"/>
      <c r="X36" s="4"/>
      <c r="Y36" s="4"/>
      <c r="Z36" s="4"/>
      <c r="AA36" s="4"/>
      <c r="AB36" s="4"/>
      <c r="AC36" s="4"/>
      <c r="AD36" s="4"/>
      <c r="AE36" s="4"/>
      <c r="AF36" s="29"/>
      <c r="AG36" s="19"/>
      <c r="AH36" s="277"/>
      <c r="AI36" s="277"/>
      <c r="AJ36" s="277"/>
      <c r="AK36" s="277"/>
      <c r="AL36" s="29"/>
      <c r="AM36" s="29"/>
      <c r="AN36" s="19"/>
      <c r="AO36" s="277"/>
      <c r="AP36" s="277"/>
      <c r="AQ36" s="29"/>
      <c r="AR36" s="277"/>
      <c r="AS36" s="277"/>
      <c r="AT36" s="277"/>
      <c r="AU36" s="19"/>
      <c r="AV36" s="29"/>
      <c r="AW36" s="29"/>
      <c r="AX36" s="4"/>
      <c r="AY36" s="277"/>
      <c r="AZ36" s="277"/>
      <c r="BA36" s="277"/>
      <c r="BB36" s="19"/>
      <c r="BC36" s="19"/>
      <c r="BD36" s="29"/>
      <c r="BE36" s="29"/>
      <c r="BF36" s="29"/>
      <c r="BG36" s="29"/>
      <c r="BH36" s="19"/>
      <c r="BI36" s="277"/>
      <c r="BJ36" s="277"/>
      <c r="BK36" s="277"/>
      <c r="BL36" s="29"/>
      <c r="BM36" s="29"/>
      <c r="BN36" s="277"/>
      <c r="BO36" s="277"/>
      <c r="BP36" s="277"/>
      <c r="BQ36" s="19"/>
      <c r="BR36" s="278"/>
      <c r="BS36" s="4"/>
      <c r="BT36" s="4"/>
      <c r="BU36" s="4"/>
      <c r="BV36" s="4"/>
      <c r="BW36" s="4"/>
      <c r="BX36" s="279"/>
      <c r="BY36" s="280"/>
      <c r="BZ36" s="281"/>
      <c r="CA36" s="280"/>
      <c r="CB36" s="281"/>
      <c r="CC36" s="21"/>
      <c r="CD36" s="21"/>
      <c r="CE36" s="21"/>
      <c r="CF36" s="21"/>
      <c r="CG36" s="21"/>
      <c r="CH36" s="21"/>
      <c r="CI36" s="21"/>
      <c r="CJ36" s="21"/>
      <c r="CK36" s="21"/>
      <c r="CL36" s="21"/>
    </row>
    <row r="37" spans="1:90" ht="192" customHeight="1">
      <c r="A37" s="74" t="s">
        <v>149</v>
      </c>
      <c r="B37" s="191" t="s">
        <v>111</v>
      </c>
      <c r="C37" s="85"/>
      <c r="D37" s="85"/>
      <c r="E37" s="76" t="s">
        <v>613</v>
      </c>
      <c r="F37" s="76" t="s">
        <v>614</v>
      </c>
      <c r="G37" s="76" t="s">
        <v>615</v>
      </c>
      <c r="H37" s="76" t="s">
        <v>616</v>
      </c>
      <c r="I37" s="87" t="s">
        <v>495</v>
      </c>
      <c r="J37" s="211" t="s">
        <v>588</v>
      </c>
      <c r="K37" s="211" t="s">
        <v>107</v>
      </c>
      <c r="L37" s="111">
        <f>SUM(95+3+1696.1)</f>
        <v>1794.1</v>
      </c>
      <c r="M37" s="111"/>
      <c r="N37" s="110"/>
      <c r="O37" s="110"/>
      <c r="P37" s="110"/>
      <c r="Q37" s="111"/>
      <c r="R37" s="111"/>
      <c r="S37" s="111"/>
      <c r="T37" s="111"/>
      <c r="U37" s="111"/>
      <c r="V37" s="111"/>
      <c r="W37" s="4"/>
      <c r="X37" s="4"/>
      <c r="Y37" s="4"/>
      <c r="Z37" s="4"/>
      <c r="AA37" s="4"/>
      <c r="AB37" s="4"/>
      <c r="AC37" s="4"/>
      <c r="AD37" s="4"/>
      <c r="AE37" s="4"/>
      <c r="AF37" s="29"/>
      <c r="AG37" s="19"/>
      <c r="AH37" s="277"/>
      <c r="AI37" s="277"/>
      <c r="AJ37" s="277"/>
      <c r="AK37" s="277"/>
      <c r="AL37" s="29"/>
      <c r="AM37" s="29"/>
      <c r="AN37" s="19"/>
      <c r="AO37" s="277"/>
      <c r="AP37" s="277"/>
      <c r="AQ37" s="29"/>
      <c r="AR37" s="277"/>
      <c r="AS37" s="277"/>
      <c r="AT37" s="277"/>
      <c r="AU37" s="19"/>
      <c r="AV37" s="29"/>
      <c r="AW37" s="29"/>
      <c r="AX37" s="4"/>
      <c r="AY37" s="277"/>
      <c r="AZ37" s="277"/>
      <c r="BA37" s="277"/>
      <c r="BB37" s="19"/>
      <c r="BC37" s="19"/>
      <c r="BD37" s="29"/>
      <c r="BE37" s="29"/>
      <c r="BF37" s="29"/>
      <c r="BG37" s="29"/>
      <c r="BH37" s="19"/>
      <c r="BI37" s="277"/>
      <c r="BJ37" s="277"/>
      <c r="BK37" s="277"/>
      <c r="BL37" s="29"/>
      <c r="BM37" s="29"/>
      <c r="BN37" s="277"/>
      <c r="BO37" s="277"/>
      <c r="BP37" s="277"/>
      <c r="BQ37" s="19"/>
      <c r="BR37" s="278"/>
      <c r="BS37" s="4"/>
      <c r="BT37" s="4"/>
      <c r="BU37" s="4"/>
      <c r="BV37" s="4"/>
      <c r="BW37" s="4"/>
      <c r="BX37" s="279"/>
      <c r="BY37" s="280"/>
      <c r="BZ37" s="281"/>
      <c r="CA37" s="280"/>
      <c r="CB37" s="28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ht="321" customHeight="1">
      <c r="A38" s="74"/>
      <c r="B38" s="191" t="s">
        <v>390</v>
      </c>
      <c r="C38" s="94"/>
      <c r="D38" s="94"/>
      <c r="E38" s="162" t="s">
        <v>386</v>
      </c>
      <c r="F38" s="162" t="s">
        <v>387</v>
      </c>
      <c r="G38" s="77" t="s">
        <v>388</v>
      </c>
      <c r="H38" s="77" t="s">
        <v>596</v>
      </c>
      <c r="I38" s="78" t="s">
        <v>518</v>
      </c>
      <c r="J38" s="209" t="s">
        <v>519</v>
      </c>
      <c r="K38" s="209" t="s">
        <v>520</v>
      </c>
      <c r="L38" s="111">
        <f>SUM(262.3+483+2360.5+4347.4)</f>
        <v>7453.2</v>
      </c>
      <c r="M38" s="111"/>
      <c r="N38" s="110"/>
      <c r="O38" s="110"/>
      <c r="P38" s="110"/>
      <c r="Q38" s="111"/>
      <c r="R38" s="111"/>
      <c r="S38" s="111"/>
      <c r="T38" s="111"/>
      <c r="U38" s="111"/>
      <c r="V38" s="111"/>
      <c r="W38" s="4"/>
      <c r="X38" s="4"/>
      <c r="Y38" s="4"/>
      <c r="Z38" s="4"/>
      <c r="AA38" s="4"/>
      <c r="AB38" s="4"/>
      <c r="AC38" s="4"/>
      <c r="AD38" s="4"/>
      <c r="AE38" s="4"/>
      <c r="AF38" s="29"/>
      <c r="AG38" s="19"/>
      <c r="AH38" s="277"/>
      <c r="AI38" s="277"/>
      <c r="AJ38" s="277"/>
      <c r="AK38" s="277"/>
      <c r="AL38" s="29"/>
      <c r="AM38" s="29"/>
      <c r="AN38" s="19"/>
      <c r="AO38" s="277"/>
      <c r="AP38" s="277"/>
      <c r="AQ38" s="29"/>
      <c r="AR38" s="277"/>
      <c r="AS38" s="277"/>
      <c r="AT38" s="277"/>
      <c r="AU38" s="19"/>
      <c r="AV38" s="29"/>
      <c r="AW38" s="29"/>
      <c r="AX38" s="4"/>
      <c r="AY38" s="277"/>
      <c r="AZ38" s="277"/>
      <c r="BA38" s="277"/>
      <c r="BB38" s="19"/>
      <c r="BC38" s="19"/>
      <c r="BD38" s="29"/>
      <c r="BE38" s="29"/>
      <c r="BF38" s="29"/>
      <c r="BG38" s="29"/>
      <c r="BH38" s="19"/>
      <c r="BI38" s="277"/>
      <c r="BJ38" s="277"/>
      <c r="BK38" s="277"/>
      <c r="BL38" s="29"/>
      <c r="BM38" s="29"/>
      <c r="BN38" s="277"/>
      <c r="BO38" s="277"/>
      <c r="BP38" s="277"/>
      <c r="BQ38" s="19"/>
      <c r="BR38" s="278"/>
      <c r="BS38" s="4"/>
      <c r="BT38" s="4"/>
      <c r="BU38" s="4"/>
      <c r="BV38" s="4"/>
      <c r="BW38" s="4"/>
      <c r="BX38" s="279"/>
      <c r="BY38" s="280"/>
      <c r="BZ38" s="281"/>
      <c r="CA38" s="280"/>
      <c r="CB38" s="281"/>
      <c r="CC38" s="21"/>
      <c r="CD38" s="21"/>
      <c r="CE38" s="21"/>
      <c r="CF38" s="21"/>
      <c r="CG38" s="21"/>
      <c r="CH38" s="21"/>
      <c r="CI38" s="21"/>
      <c r="CJ38" s="21"/>
      <c r="CK38" s="21"/>
      <c r="CL38" s="21"/>
    </row>
    <row r="39" spans="1:90" ht="199.5" customHeight="1">
      <c r="A39" s="74"/>
      <c r="B39" s="94" t="s">
        <v>25</v>
      </c>
      <c r="C39" s="85"/>
      <c r="D39" s="85"/>
      <c r="E39" s="76" t="s">
        <v>340</v>
      </c>
      <c r="F39" s="76" t="s">
        <v>299</v>
      </c>
      <c r="G39" s="76" t="s">
        <v>592</v>
      </c>
      <c r="H39" s="76" t="s">
        <v>593</v>
      </c>
      <c r="I39" s="374" t="s">
        <v>412</v>
      </c>
      <c r="J39" s="375" t="s">
        <v>151</v>
      </c>
      <c r="K39" s="375" t="s">
        <v>150</v>
      </c>
      <c r="L39" s="111">
        <f>SUM(1720.4+3422.6)</f>
        <v>5143</v>
      </c>
      <c r="M39" s="111"/>
      <c r="N39" s="110">
        <v>252.5</v>
      </c>
      <c r="O39" s="110">
        <v>252.5</v>
      </c>
      <c r="P39" s="110"/>
      <c r="Q39" s="111">
        <v>268.7</v>
      </c>
      <c r="R39" s="111">
        <v>268.7</v>
      </c>
      <c r="S39" s="111"/>
      <c r="T39" s="111">
        <v>285.3</v>
      </c>
      <c r="U39" s="111">
        <v>285.3</v>
      </c>
      <c r="V39" s="111"/>
      <c r="W39" s="4"/>
      <c r="X39" s="4"/>
      <c r="Y39" s="4"/>
      <c r="Z39" s="4"/>
      <c r="AA39" s="4"/>
      <c r="AB39" s="4"/>
      <c r="AC39" s="4"/>
      <c r="AD39" s="4"/>
      <c r="AE39" s="4"/>
      <c r="AF39" s="29"/>
      <c r="AG39" s="19"/>
      <c r="AH39" s="277"/>
      <c r="AI39" s="277"/>
      <c r="AJ39" s="277"/>
      <c r="AK39" s="277"/>
      <c r="AL39" s="29"/>
      <c r="AM39" s="29"/>
      <c r="AN39" s="19"/>
      <c r="AO39" s="277"/>
      <c r="AP39" s="277"/>
      <c r="AQ39" s="29"/>
      <c r="AR39" s="277"/>
      <c r="AS39" s="277"/>
      <c r="AT39" s="277"/>
      <c r="AU39" s="19"/>
      <c r="AV39" s="29"/>
      <c r="AW39" s="29"/>
      <c r="AX39" s="4"/>
      <c r="AY39" s="277"/>
      <c r="AZ39" s="277"/>
      <c r="BA39" s="277"/>
      <c r="BB39" s="19"/>
      <c r="BC39" s="19"/>
      <c r="BD39" s="29"/>
      <c r="BE39" s="314"/>
      <c r="BF39" s="29"/>
      <c r="BG39" s="29"/>
      <c r="BH39" s="19"/>
      <c r="BI39" s="277"/>
      <c r="BJ39" s="277"/>
      <c r="BK39" s="277"/>
      <c r="BL39" s="29"/>
      <c r="BM39" s="29"/>
      <c r="BN39" s="277"/>
      <c r="BO39" s="277"/>
      <c r="BP39" s="277"/>
      <c r="BQ39" s="19"/>
      <c r="BR39" s="278"/>
      <c r="BS39" s="4"/>
      <c r="BT39" s="4"/>
      <c r="BU39" s="4"/>
      <c r="BV39" s="4"/>
      <c r="BW39" s="4"/>
      <c r="BX39" s="279"/>
      <c r="BY39" s="280"/>
      <c r="BZ39" s="281"/>
      <c r="CA39" s="280"/>
      <c r="CB39" s="281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ht="153" customHeight="1">
      <c r="A40" s="74" t="s">
        <v>152</v>
      </c>
      <c r="B40" s="74" t="s">
        <v>555</v>
      </c>
      <c r="C40" s="74"/>
      <c r="D40" s="74"/>
      <c r="E40" s="76" t="s">
        <v>340</v>
      </c>
      <c r="F40" s="76" t="s">
        <v>299</v>
      </c>
      <c r="G40" s="76" t="s">
        <v>594</v>
      </c>
      <c r="H40" s="76" t="s">
        <v>595</v>
      </c>
      <c r="I40" s="376" t="s">
        <v>499</v>
      </c>
      <c r="J40" s="375"/>
      <c r="K40" s="375"/>
      <c r="L40" s="111">
        <f>SUM(7470.6+15658.2)</f>
        <v>23128.800000000003</v>
      </c>
      <c r="M40" s="111"/>
      <c r="N40" s="111">
        <v>185.2</v>
      </c>
      <c r="O40" s="111">
        <v>185.2</v>
      </c>
      <c r="P40" s="111"/>
      <c r="Q40" s="111">
        <v>197.1</v>
      </c>
      <c r="R40" s="111">
        <v>197.1</v>
      </c>
      <c r="S40" s="111"/>
      <c r="T40" s="111">
        <v>209.3</v>
      </c>
      <c r="U40" s="111">
        <v>209.3</v>
      </c>
      <c r="V40" s="111"/>
      <c r="W40" s="4"/>
      <c r="X40" s="4"/>
      <c r="Y40" s="4"/>
      <c r="Z40" s="4"/>
      <c r="AA40" s="4"/>
      <c r="AB40" s="4"/>
      <c r="AC40" s="4"/>
      <c r="AD40" s="4"/>
      <c r="AE40" s="4"/>
      <c r="AF40" s="29"/>
      <c r="AG40" s="19"/>
      <c r="AH40" s="277"/>
      <c r="AI40" s="277"/>
      <c r="AJ40" s="277"/>
      <c r="AK40" s="277"/>
      <c r="AL40" s="29"/>
      <c r="AM40" s="29"/>
      <c r="AN40" s="19"/>
      <c r="AO40" s="277"/>
      <c r="AP40" s="277"/>
      <c r="AQ40" s="29"/>
      <c r="AR40" s="277"/>
      <c r="AS40" s="277"/>
      <c r="AT40" s="277"/>
      <c r="AU40" s="19"/>
      <c r="AV40" s="29"/>
      <c r="AW40" s="29"/>
      <c r="AX40" s="4"/>
      <c r="AY40" s="277"/>
      <c r="AZ40" s="29"/>
      <c r="BA40" s="277"/>
      <c r="BB40" s="19"/>
      <c r="BC40" s="19"/>
      <c r="BD40" s="29"/>
      <c r="BE40" s="29"/>
      <c r="BF40" s="29"/>
      <c r="BG40" s="29"/>
      <c r="BH40" s="19"/>
      <c r="BI40" s="277"/>
      <c r="BJ40" s="277"/>
      <c r="BK40" s="277"/>
      <c r="BL40" s="29"/>
      <c r="BM40" s="277"/>
      <c r="BN40" s="277"/>
      <c r="BO40" s="277"/>
      <c r="BP40" s="277"/>
      <c r="BQ40" s="19"/>
      <c r="BR40" s="278"/>
      <c r="BS40" s="4"/>
      <c r="BT40" s="4"/>
      <c r="BU40" s="4"/>
      <c r="BV40" s="4"/>
      <c r="BW40" s="4"/>
      <c r="BX40" s="279"/>
      <c r="BY40" s="280"/>
      <c r="BZ40" s="281"/>
      <c r="CA40" s="280"/>
      <c r="CB40" s="281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ht="106.5" customHeight="1">
      <c r="A41" s="74"/>
      <c r="B41" s="94" t="s">
        <v>554</v>
      </c>
      <c r="C41" s="74"/>
      <c r="D41" s="74"/>
      <c r="E41" s="76" t="s">
        <v>6</v>
      </c>
      <c r="F41" s="76" t="s">
        <v>2</v>
      </c>
      <c r="G41" s="76" t="s">
        <v>553</v>
      </c>
      <c r="H41" s="76" t="s">
        <v>146</v>
      </c>
      <c r="I41" s="376"/>
      <c r="J41" s="212" t="s">
        <v>153</v>
      </c>
      <c r="K41" s="212" t="s">
        <v>154</v>
      </c>
      <c r="L41" s="111">
        <v>3317.6</v>
      </c>
      <c r="M41" s="111"/>
      <c r="N41" s="111">
        <v>1226.6</v>
      </c>
      <c r="O41" s="111">
        <v>1226.6</v>
      </c>
      <c r="P41" s="111"/>
      <c r="Q41" s="111">
        <v>1304.7</v>
      </c>
      <c r="R41" s="111">
        <v>1304.7</v>
      </c>
      <c r="S41" s="111"/>
      <c r="T41" s="111">
        <v>1385.6</v>
      </c>
      <c r="U41" s="111">
        <v>1385.6</v>
      </c>
      <c r="V41" s="111"/>
      <c r="W41" s="4"/>
      <c r="X41" s="4"/>
      <c r="Y41" s="4"/>
      <c r="Z41" s="4"/>
      <c r="AA41" s="4"/>
      <c r="AB41" s="4"/>
      <c r="AC41" s="4"/>
      <c r="AD41" s="4"/>
      <c r="AE41" s="4"/>
      <c r="AF41" s="29"/>
      <c r="AG41" s="19"/>
      <c r="AH41" s="277"/>
      <c r="AI41" s="277"/>
      <c r="AJ41" s="277"/>
      <c r="AK41" s="277"/>
      <c r="AL41" s="29"/>
      <c r="AM41" s="29"/>
      <c r="AN41" s="19"/>
      <c r="AO41" s="277"/>
      <c r="AP41" s="277"/>
      <c r="AQ41" s="29"/>
      <c r="AR41" s="277"/>
      <c r="AS41" s="277"/>
      <c r="AT41" s="277"/>
      <c r="AU41" s="19"/>
      <c r="AV41" s="29"/>
      <c r="AW41" s="29"/>
      <c r="AX41" s="4"/>
      <c r="AY41" s="277"/>
      <c r="AZ41" s="277"/>
      <c r="BA41" s="277"/>
      <c r="BB41" s="19"/>
      <c r="BC41" s="19"/>
      <c r="BD41" s="29"/>
      <c r="BE41" s="29"/>
      <c r="BF41" s="29"/>
      <c r="BG41" s="29"/>
      <c r="BH41" s="19"/>
      <c r="BI41" s="277"/>
      <c r="BJ41" s="277"/>
      <c r="BK41" s="277"/>
      <c r="BL41" s="277"/>
      <c r="BM41" s="277"/>
      <c r="BN41" s="29"/>
      <c r="BO41" s="277"/>
      <c r="BP41" s="277"/>
      <c r="BQ41" s="19"/>
      <c r="BR41" s="278"/>
      <c r="BS41" s="4"/>
      <c r="BT41" s="4"/>
      <c r="BU41" s="4"/>
      <c r="BV41" s="4"/>
      <c r="BW41" s="4"/>
      <c r="BX41" s="279"/>
      <c r="BY41" s="280"/>
      <c r="BZ41" s="281"/>
      <c r="CA41" s="280"/>
      <c r="CB41" s="281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ht="106.5" customHeight="1">
      <c r="A42" s="74" t="s">
        <v>152</v>
      </c>
      <c r="B42" s="74" t="s">
        <v>556</v>
      </c>
      <c r="C42" s="74"/>
      <c r="D42" s="74"/>
      <c r="E42" s="76" t="s">
        <v>6</v>
      </c>
      <c r="F42" s="76" t="s">
        <v>2</v>
      </c>
      <c r="G42" s="76" t="s">
        <v>557</v>
      </c>
      <c r="H42" s="76" t="s">
        <v>48</v>
      </c>
      <c r="I42" s="377" t="s">
        <v>412</v>
      </c>
      <c r="J42" s="212"/>
      <c r="K42" s="212"/>
      <c r="L42" s="111">
        <v>601.6</v>
      </c>
      <c r="M42" s="111"/>
      <c r="N42" s="111">
        <v>90.2</v>
      </c>
      <c r="O42" s="111">
        <v>90.2</v>
      </c>
      <c r="P42" s="111"/>
      <c r="Q42" s="111">
        <v>96</v>
      </c>
      <c r="R42" s="111">
        <v>96</v>
      </c>
      <c r="S42" s="111"/>
      <c r="T42" s="111">
        <v>101.9</v>
      </c>
      <c r="U42" s="111">
        <v>101.9</v>
      </c>
      <c r="V42" s="111"/>
      <c r="W42" s="4"/>
      <c r="X42" s="4"/>
      <c r="Y42" s="4"/>
      <c r="Z42" s="4"/>
      <c r="AA42" s="4"/>
      <c r="AB42" s="4"/>
      <c r="AC42" s="4"/>
      <c r="AD42" s="4"/>
      <c r="AE42" s="4"/>
      <c r="AF42" s="29"/>
      <c r="AG42" s="19"/>
      <c r="AH42" s="277"/>
      <c r="AI42" s="277"/>
      <c r="AJ42" s="277"/>
      <c r="AK42" s="277"/>
      <c r="AL42" s="29"/>
      <c r="AM42" s="29"/>
      <c r="AN42" s="19"/>
      <c r="AO42" s="277"/>
      <c r="AP42" s="277"/>
      <c r="AQ42" s="29"/>
      <c r="AR42" s="277"/>
      <c r="AS42" s="277"/>
      <c r="AT42" s="277"/>
      <c r="AU42" s="19"/>
      <c r="AV42" s="29"/>
      <c r="AW42" s="29"/>
      <c r="AX42" s="4"/>
      <c r="AY42" s="277"/>
      <c r="AZ42" s="29"/>
      <c r="BA42" s="277"/>
      <c r="BB42" s="19"/>
      <c r="BC42" s="19"/>
      <c r="BD42" s="29"/>
      <c r="BE42" s="29"/>
      <c r="BF42" s="29"/>
      <c r="BG42" s="29"/>
      <c r="BH42" s="19"/>
      <c r="BI42" s="277"/>
      <c r="BJ42" s="277"/>
      <c r="BK42" s="277"/>
      <c r="BL42" s="29"/>
      <c r="BM42" s="277"/>
      <c r="BN42" s="277"/>
      <c r="BO42" s="277"/>
      <c r="BP42" s="277"/>
      <c r="BQ42" s="19"/>
      <c r="BR42" s="278"/>
      <c r="BS42" s="4"/>
      <c r="BT42" s="4"/>
      <c r="BU42" s="4"/>
      <c r="BV42" s="4"/>
      <c r="BW42" s="4"/>
      <c r="BX42" s="279"/>
      <c r="BY42" s="280"/>
      <c r="BZ42" s="281"/>
      <c r="CA42" s="280"/>
      <c r="CB42" s="281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ht="267.75">
      <c r="A43" s="5"/>
      <c r="B43" s="112" t="s">
        <v>157</v>
      </c>
      <c r="C43" s="94"/>
      <c r="D43" s="94"/>
      <c r="E43" s="76" t="s">
        <v>6</v>
      </c>
      <c r="F43" s="76" t="s">
        <v>7</v>
      </c>
      <c r="G43" s="76" t="s">
        <v>44</v>
      </c>
      <c r="H43" s="76" t="s">
        <v>48</v>
      </c>
      <c r="I43" s="377"/>
      <c r="J43" s="378" t="s">
        <v>155</v>
      </c>
      <c r="K43" s="378" t="s">
        <v>156</v>
      </c>
      <c r="L43" s="111">
        <f>SUM(1916.6+17249.7)</f>
        <v>19166.3</v>
      </c>
      <c r="M43" s="111"/>
      <c r="N43" s="111">
        <v>1768.2</v>
      </c>
      <c r="O43" s="111">
        <v>1768.2</v>
      </c>
      <c r="P43" s="111"/>
      <c r="Q43" s="111">
        <v>1881.4</v>
      </c>
      <c r="R43" s="111">
        <v>1881.4</v>
      </c>
      <c r="S43" s="111"/>
      <c r="T43" s="111">
        <v>1998</v>
      </c>
      <c r="U43" s="111">
        <v>1998</v>
      </c>
      <c r="V43" s="111"/>
      <c r="W43" s="4"/>
      <c r="X43" s="4"/>
      <c r="Y43" s="4"/>
      <c r="Z43" s="4"/>
      <c r="AA43" s="4"/>
      <c r="AB43" s="4"/>
      <c r="AC43" s="4"/>
      <c r="AD43" s="4"/>
      <c r="AE43" s="4"/>
      <c r="AF43" s="29"/>
      <c r="AG43" s="19"/>
      <c r="AH43" s="277"/>
      <c r="AI43" s="277"/>
      <c r="AJ43" s="277"/>
      <c r="AK43" s="277"/>
      <c r="AL43" s="29"/>
      <c r="AM43" s="29"/>
      <c r="AN43" s="19"/>
      <c r="AO43" s="277"/>
      <c r="AP43" s="277"/>
      <c r="AQ43" s="29"/>
      <c r="AR43" s="277"/>
      <c r="AS43" s="277"/>
      <c r="AT43" s="277"/>
      <c r="AU43" s="19"/>
      <c r="AV43" s="29"/>
      <c r="AW43" s="29"/>
      <c r="AX43" s="4"/>
      <c r="AY43" s="277"/>
      <c r="AZ43" s="277"/>
      <c r="BA43" s="277"/>
      <c r="BB43" s="19"/>
      <c r="BC43" s="19"/>
      <c r="BD43" s="29"/>
      <c r="BE43" s="29"/>
      <c r="BF43" s="29"/>
      <c r="BG43" s="29"/>
      <c r="BH43" s="19"/>
      <c r="BI43" s="277"/>
      <c r="BJ43" s="277"/>
      <c r="BK43" s="277"/>
      <c r="BL43" s="29"/>
      <c r="BM43" s="29"/>
      <c r="BN43" s="277"/>
      <c r="BO43" s="277"/>
      <c r="BP43" s="277"/>
      <c r="BQ43" s="19"/>
      <c r="BR43" s="278"/>
      <c r="BS43" s="279"/>
      <c r="BT43" s="4"/>
      <c r="BU43" s="8"/>
      <c r="BV43" s="4"/>
      <c r="BW43" s="4"/>
      <c r="BX43" s="279"/>
      <c r="BY43" s="280"/>
      <c r="BZ43" s="281"/>
      <c r="CA43" s="280"/>
      <c r="CB43" s="281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91.25">
      <c r="A44" s="5"/>
      <c r="B44" s="112" t="s">
        <v>13</v>
      </c>
      <c r="C44" s="94"/>
      <c r="D44" s="94"/>
      <c r="E44" s="76" t="s">
        <v>682</v>
      </c>
      <c r="F44" s="76" t="s">
        <v>683</v>
      </c>
      <c r="G44" s="76" t="s">
        <v>684</v>
      </c>
      <c r="H44" s="76" t="s">
        <v>685</v>
      </c>
      <c r="I44" s="78" t="s">
        <v>147</v>
      </c>
      <c r="J44" s="218" t="s">
        <v>148</v>
      </c>
      <c r="K44" s="215" t="s">
        <v>138</v>
      </c>
      <c r="L44" s="111">
        <v>96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4"/>
      <c r="X44" s="4"/>
      <c r="Y44" s="4"/>
      <c r="Z44" s="4"/>
      <c r="AA44" s="4"/>
      <c r="AB44" s="4"/>
      <c r="AC44" s="4"/>
      <c r="AD44" s="4"/>
      <c r="AE44" s="4"/>
      <c r="AF44" s="29"/>
      <c r="AG44" s="19"/>
      <c r="AH44" s="277"/>
      <c r="AI44" s="277"/>
      <c r="AJ44" s="277"/>
      <c r="AK44" s="277"/>
      <c r="AL44" s="29"/>
      <c r="AM44" s="29"/>
      <c r="AN44" s="19"/>
      <c r="AO44" s="277"/>
      <c r="AP44" s="277"/>
      <c r="AQ44" s="29"/>
      <c r="AR44" s="277"/>
      <c r="AS44" s="277"/>
      <c r="AT44" s="277"/>
      <c r="AU44" s="19"/>
      <c r="AV44" s="29"/>
      <c r="AW44" s="29"/>
      <c r="AX44" s="4"/>
      <c r="AY44" s="277"/>
      <c r="AZ44" s="277"/>
      <c r="BA44" s="277"/>
      <c r="BB44" s="19"/>
      <c r="BC44" s="19"/>
      <c r="BD44" s="29"/>
      <c r="BE44" s="29"/>
      <c r="BF44" s="29"/>
      <c r="BG44" s="29"/>
      <c r="BH44" s="19"/>
      <c r="BI44" s="277"/>
      <c r="BJ44" s="277"/>
      <c r="BK44" s="277"/>
      <c r="BL44" s="29"/>
      <c r="BM44" s="29"/>
      <c r="BN44" s="277"/>
      <c r="BO44" s="277"/>
      <c r="BP44" s="277"/>
      <c r="BQ44" s="19"/>
      <c r="BR44" s="278"/>
      <c r="BS44" s="279"/>
      <c r="BT44" s="4"/>
      <c r="BU44" s="8"/>
      <c r="BV44" s="4"/>
      <c r="BW44" s="4"/>
      <c r="BX44" s="279"/>
      <c r="BY44" s="280"/>
      <c r="BZ44" s="281"/>
      <c r="CA44" s="280"/>
      <c r="CB44" s="281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67.5">
      <c r="A45" s="372">
        <v>1.12</v>
      </c>
      <c r="B45" s="94" t="s">
        <v>136</v>
      </c>
      <c r="C45" s="91"/>
      <c r="D45" s="91"/>
      <c r="E45" s="86" t="s">
        <v>6</v>
      </c>
      <c r="F45" s="86" t="s">
        <v>4</v>
      </c>
      <c r="G45" s="86" t="s">
        <v>311</v>
      </c>
      <c r="H45" s="86" t="s">
        <v>48</v>
      </c>
      <c r="I45" s="92" t="s">
        <v>137</v>
      </c>
      <c r="J45" s="233" t="s">
        <v>473</v>
      </c>
      <c r="K45" s="215" t="s">
        <v>130</v>
      </c>
      <c r="L45" s="79">
        <v>275.9</v>
      </c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4"/>
      <c r="X45" s="4"/>
      <c r="Y45" s="4"/>
      <c r="Z45" s="4"/>
      <c r="AA45" s="4"/>
      <c r="AB45" s="4"/>
      <c r="AC45" s="4"/>
      <c r="AD45" s="4"/>
      <c r="AE45" s="4"/>
      <c r="AF45" s="29"/>
      <c r="AG45" s="19"/>
      <c r="AH45" s="29"/>
      <c r="AI45" s="29"/>
      <c r="AJ45" s="29"/>
      <c r="AK45" s="29"/>
      <c r="AL45" s="29"/>
      <c r="AM45" s="29"/>
      <c r="AN45" s="19"/>
      <c r="AO45" s="29"/>
      <c r="AP45" s="29"/>
      <c r="AQ45" s="29"/>
      <c r="AR45" s="29"/>
      <c r="AS45" s="29"/>
      <c r="AT45" s="29"/>
      <c r="AU45" s="19"/>
      <c r="AV45" s="29"/>
      <c r="AW45" s="302"/>
      <c r="AX45" s="29"/>
      <c r="AY45" s="29"/>
      <c r="AZ45" s="29"/>
      <c r="BA45" s="29"/>
      <c r="BB45" s="19"/>
      <c r="BC45" s="19"/>
      <c r="BD45" s="29"/>
      <c r="BE45" s="29"/>
      <c r="BF45" s="29"/>
      <c r="BG45" s="29"/>
      <c r="BH45" s="19"/>
      <c r="BI45" s="29"/>
      <c r="BJ45" s="29"/>
      <c r="BK45" s="29"/>
      <c r="BL45" s="29"/>
      <c r="BM45" s="29"/>
      <c r="BN45" s="29"/>
      <c r="BO45" s="29"/>
      <c r="BP45" s="29"/>
      <c r="BQ45" s="19"/>
      <c r="BR45" s="278"/>
      <c r="BS45" s="4"/>
      <c r="BT45" s="4"/>
      <c r="BU45" s="4"/>
      <c r="BV45" s="4"/>
      <c r="BW45" s="4"/>
      <c r="BX45" s="279"/>
      <c r="BY45" s="312"/>
      <c r="BZ45" s="313"/>
      <c r="CA45" s="312"/>
      <c r="CB45" s="313"/>
      <c r="CC45" s="9"/>
      <c r="CD45" s="9"/>
      <c r="CE45" s="9"/>
      <c r="CF45" s="9"/>
      <c r="CG45" s="9"/>
      <c r="CH45" s="9"/>
      <c r="CI45" s="9"/>
      <c r="CJ45" s="9"/>
      <c r="CK45" s="9"/>
      <c r="CL45" s="9"/>
    </row>
    <row r="46" spans="1:90" ht="135">
      <c r="A46" s="5"/>
      <c r="B46" s="94" t="s">
        <v>589</v>
      </c>
      <c r="C46" s="94"/>
      <c r="D46" s="94"/>
      <c r="E46" s="76" t="s">
        <v>597</v>
      </c>
      <c r="F46" s="76" t="s">
        <v>598</v>
      </c>
      <c r="G46" s="76" t="s">
        <v>599</v>
      </c>
      <c r="H46" s="76" t="s">
        <v>600</v>
      </c>
      <c r="I46" s="379" t="s">
        <v>590</v>
      </c>
      <c r="J46" s="380" t="s">
        <v>591</v>
      </c>
      <c r="K46" s="380" t="s">
        <v>107</v>
      </c>
      <c r="L46" s="111">
        <f>SUM(249.4+294.3+664.4+3936.3)</f>
        <v>5144.4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4"/>
      <c r="X46" s="4"/>
      <c r="Y46" s="4"/>
      <c r="Z46" s="4"/>
      <c r="AA46" s="4"/>
      <c r="AB46" s="4"/>
      <c r="AC46" s="4"/>
      <c r="AD46" s="4"/>
      <c r="AE46" s="4"/>
      <c r="AF46" s="315"/>
      <c r="AG46" s="19"/>
      <c r="AH46" s="277"/>
      <c r="AI46" s="277"/>
      <c r="AJ46" s="314"/>
      <c r="AK46" s="277"/>
      <c r="AL46" s="314"/>
      <c r="AM46" s="58"/>
      <c r="AN46" s="19"/>
      <c r="AO46" s="29"/>
      <c r="AP46" s="277"/>
      <c r="AQ46" s="315"/>
      <c r="AR46" s="315"/>
      <c r="AS46" s="316"/>
      <c r="AT46" s="317"/>
      <c r="AU46" s="19"/>
      <c r="AV46" s="4"/>
      <c r="AW46" s="29"/>
      <c r="AX46" s="29"/>
      <c r="AY46" s="277"/>
      <c r="AZ46" s="277"/>
      <c r="BA46" s="318"/>
      <c r="BB46" s="19"/>
      <c r="BC46" s="19"/>
      <c r="BD46" s="317"/>
      <c r="BE46" s="4"/>
      <c r="BF46" s="317"/>
      <c r="BG46" s="29"/>
      <c r="BH46" s="19"/>
      <c r="BI46" s="277"/>
      <c r="BJ46" s="277"/>
      <c r="BK46" s="319"/>
      <c r="BL46" s="29"/>
      <c r="BM46" s="277"/>
      <c r="BN46" s="277"/>
      <c r="BO46" s="320"/>
      <c r="BP46" s="277"/>
      <c r="BQ46" s="19"/>
      <c r="BR46" s="278"/>
      <c r="BS46" s="317"/>
      <c r="BT46" s="317"/>
      <c r="BU46" s="321"/>
      <c r="BV46" s="8"/>
      <c r="BW46" s="8"/>
      <c r="BX46" s="279"/>
      <c r="BY46" s="312"/>
      <c r="BZ46" s="313"/>
      <c r="CA46" s="312"/>
      <c r="CB46" s="31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53.75" customHeight="1">
      <c r="A47" s="5"/>
      <c r="B47" s="94" t="s">
        <v>602</v>
      </c>
      <c r="C47" s="94"/>
      <c r="D47" s="94"/>
      <c r="E47" s="76" t="s">
        <v>6</v>
      </c>
      <c r="F47" s="76" t="s">
        <v>6</v>
      </c>
      <c r="G47" s="76" t="s">
        <v>601</v>
      </c>
      <c r="H47" s="76" t="s">
        <v>48</v>
      </c>
      <c r="I47" s="379" t="s">
        <v>603</v>
      </c>
      <c r="J47" s="380" t="s">
        <v>604</v>
      </c>
      <c r="K47" s="380" t="s">
        <v>107</v>
      </c>
      <c r="L47" s="111">
        <v>1000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4"/>
      <c r="X47" s="4"/>
      <c r="Y47" s="4"/>
      <c r="Z47" s="4"/>
      <c r="AA47" s="4"/>
      <c r="AB47" s="4"/>
      <c r="AC47" s="4"/>
      <c r="AD47" s="4"/>
      <c r="AE47" s="4"/>
      <c r="AF47" s="315"/>
      <c r="AG47" s="19"/>
      <c r="AH47" s="277"/>
      <c r="AI47" s="277"/>
      <c r="AJ47" s="314"/>
      <c r="AK47" s="277"/>
      <c r="AL47" s="314"/>
      <c r="AM47" s="58"/>
      <c r="AN47" s="19"/>
      <c r="AO47" s="29"/>
      <c r="AP47" s="277"/>
      <c r="AQ47" s="315"/>
      <c r="AR47" s="315"/>
      <c r="AS47" s="316"/>
      <c r="AT47" s="317"/>
      <c r="AU47" s="19"/>
      <c r="AV47" s="4"/>
      <c r="AW47" s="29"/>
      <c r="AX47" s="29"/>
      <c r="AY47" s="277"/>
      <c r="AZ47" s="277"/>
      <c r="BA47" s="318"/>
      <c r="BB47" s="19"/>
      <c r="BC47" s="19"/>
      <c r="BD47" s="317"/>
      <c r="BE47" s="4"/>
      <c r="BF47" s="317"/>
      <c r="BG47" s="29"/>
      <c r="BH47" s="19"/>
      <c r="BI47" s="277"/>
      <c r="BJ47" s="277"/>
      <c r="BK47" s="319"/>
      <c r="BL47" s="29"/>
      <c r="BM47" s="277"/>
      <c r="BN47" s="277"/>
      <c r="BO47" s="320"/>
      <c r="BP47" s="277"/>
      <c r="BQ47" s="19"/>
      <c r="BR47" s="278"/>
      <c r="BS47" s="317"/>
      <c r="BT47" s="317"/>
      <c r="BU47" s="321"/>
      <c r="BV47" s="8"/>
      <c r="BW47" s="8"/>
      <c r="BX47" s="279"/>
      <c r="BY47" s="312"/>
      <c r="BZ47" s="313"/>
      <c r="CA47" s="312"/>
      <c r="CB47" s="31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81" s="201" customFormat="1" ht="162.75" customHeight="1">
      <c r="A48" s="73" t="s">
        <v>131</v>
      </c>
      <c r="B48" s="191" t="s">
        <v>343</v>
      </c>
      <c r="C48" s="91"/>
      <c r="D48" s="91"/>
      <c r="E48" s="86" t="s">
        <v>41</v>
      </c>
      <c r="F48" s="86" t="s">
        <v>4</v>
      </c>
      <c r="G48" s="86" t="s">
        <v>605</v>
      </c>
      <c r="H48" s="86" t="s">
        <v>127</v>
      </c>
      <c r="I48" s="92" t="s">
        <v>432</v>
      </c>
      <c r="J48" s="233" t="s">
        <v>431</v>
      </c>
      <c r="K48" s="225" t="s">
        <v>430</v>
      </c>
      <c r="L48" s="122">
        <v>160.3</v>
      </c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296"/>
      <c r="X48" s="296"/>
      <c r="Y48" s="296"/>
      <c r="Z48" s="296"/>
      <c r="AA48" s="296"/>
      <c r="AB48" s="296"/>
      <c r="AC48" s="296"/>
      <c r="AD48" s="296"/>
      <c r="AE48" s="296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0"/>
      <c r="AU48" s="292"/>
      <c r="AV48" s="297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8"/>
      <c r="BS48" s="296"/>
      <c r="BT48" s="296"/>
      <c r="BU48" s="296"/>
      <c r="BV48" s="296"/>
      <c r="BW48" s="296"/>
      <c r="BX48" s="299"/>
      <c r="BY48" s="322"/>
      <c r="BZ48" s="323"/>
      <c r="CA48" s="322"/>
      <c r="CB48" s="323"/>
      <c r="CC48" s="264"/>
    </row>
    <row r="49" spans="1:80" ht="150" customHeight="1">
      <c r="A49" s="5"/>
      <c r="B49" s="78" t="s">
        <v>160</v>
      </c>
      <c r="C49" s="94"/>
      <c r="D49" s="78"/>
      <c r="E49" s="76" t="s">
        <v>144</v>
      </c>
      <c r="F49" s="76" t="s">
        <v>4</v>
      </c>
      <c r="G49" s="76" t="s">
        <v>315</v>
      </c>
      <c r="H49" s="76" t="s">
        <v>48</v>
      </c>
      <c r="I49" s="78" t="s">
        <v>413</v>
      </c>
      <c r="J49" s="209" t="s">
        <v>439</v>
      </c>
      <c r="K49" s="209" t="s">
        <v>161</v>
      </c>
      <c r="L49" s="107">
        <v>27626.8</v>
      </c>
      <c r="M49" s="107"/>
      <c r="N49" s="107">
        <v>24274.4</v>
      </c>
      <c r="O49" s="107">
        <v>24274.4</v>
      </c>
      <c r="P49" s="107"/>
      <c r="Q49" s="107">
        <v>26379.8</v>
      </c>
      <c r="R49" s="107">
        <v>26379.8</v>
      </c>
      <c r="S49" s="107"/>
      <c r="T49" s="107">
        <v>27240.2</v>
      </c>
      <c r="U49" s="107">
        <v>27240.2</v>
      </c>
      <c r="V49" s="107"/>
      <c r="W49" s="4"/>
      <c r="X49" s="4"/>
      <c r="Y49" s="4"/>
      <c r="Z49" s="4"/>
      <c r="AA49" s="4"/>
      <c r="AB49" s="4"/>
      <c r="AC49" s="4"/>
      <c r="AD49" s="4"/>
      <c r="AE49" s="4"/>
      <c r="AF49" s="315"/>
      <c r="AG49" s="19"/>
      <c r="AH49" s="277"/>
      <c r="AI49" s="277"/>
      <c r="AJ49" s="314"/>
      <c r="AK49" s="277"/>
      <c r="AL49" s="314"/>
      <c r="AM49" s="58"/>
      <c r="AN49" s="19"/>
      <c r="AO49" s="277"/>
      <c r="AP49" s="277"/>
      <c r="AQ49" s="315"/>
      <c r="AR49" s="315"/>
      <c r="AS49" s="316"/>
      <c r="AT49" s="317"/>
      <c r="AU49" s="19"/>
      <c r="AV49" s="4"/>
      <c r="AW49" s="29"/>
      <c r="AX49" s="29"/>
      <c r="AY49" s="277"/>
      <c r="AZ49" s="277"/>
      <c r="BA49" s="318"/>
      <c r="BB49" s="19"/>
      <c r="BC49" s="19"/>
      <c r="BD49" s="317"/>
      <c r="BE49" s="314"/>
      <c r="BF49" s="317"/>
      <c r="BG49" s="29"/>
      <c r="BH49" s="19"/>
      <c r="BI49" s="277"/>
      <c r="BJ49" s="277"/>
      <c r="BK49" s="319"/>
      <c r="BL49" s="277"/>
      <c r="BM49" s="29"/>
      <c r="BN49" s="29"/>
      <c r="BO49" s="320"/>
      <c r="BP49" s="277"/>
      <c r="BQ49" s="19"/>
      <c r="BR49" s="278"/>
      <c r="BS49" s="317"/>
      <c r="BT49" s="317"/>
      <c r="BU49" s="321"/>
      <c r="BV49" s="8"/>
      <c r="BW49" s="8"/>
      <c r="BX49" s="279"/>
      <c r="BY49" s="280"/>
      <c r="BZ49" s="281"/>
      <c r="CA49" s="280"/>
      <c r="CB49" s="281"/>
    </row>
    <row r="50" spans="1:90" ht="12.75">
      <c r="A50" s="165" t="s">
        <v>18</v>
      </c>
      <c r="B50" s="260" t="s">
        <v>9</v>
      </c>
      <c r="C50" s="260"/>
      <c r="D50" s="260"/>
      <c r="E50" s="260"/>
      <c r="F50" s="260"/>
      <c r="G50" s="260"/>
      <c r="H50" s="260"/>
      <c r="I50" s="260"/>
      <c r="J50" s="260"/>
      <c r="K50" s="219"/>
      <c r="L50" s="113">
        <f>SUM(L51+L54+L58)</f>
        <v>36460.1</v>
      </c>
      <c r="M50" s="113"/>
      <c r="N50" s="113">
        <f>SUM(N51+N54+N58)</f>
        <v>36248.3</v>
      </c>
      <c r="O50" s="113">
        <f aca="true" t="shared" si="10" ref="O50:V50">SUM(O51+O54+O58)</f>
        <v>36248.3</v>
      </c>
      <c r="P50" s="113">
        <f t="shared" si="10"/>
        <v>0</v>
      </c>
      <c r="Q50" s="113">
        <f t="shared" si="10"/>
        <v>37539.1</v>
      </c>
      <c r="R50" s="113">
        <f t="shared" si="10"/>
        <v>37539.1</v>
      </c>
      <c r="S50" s="113">
        <f t="shared" si="10"/>
        <v>0</v>
      </c>
      <c r="T50" s="113">
        <f t="shared" si="10"/>
        <v>38869.4</v>
      </c>
      <c r="U50" s="113">
        <f t="shared" si="10"/>
        <v>38869.4</v>
      </c>
      <c r="V50" s="113">
        <f t="shared" si="10"/>
        <v>0</v>
      </c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7"/>
      <c r="AI50" s="277"/>
      <c r="AJ50" s="318"/>
      <c r="AK50" s="277"/>
      <c r="AL50" s="314"/>
      <c r="AM50" s="58"/>
      <c r="AN50" s="19"/>
      <c r="AO50" s="277"/>
      <c r="AP50" s="277"/>
      <c r="AQ50" s="315"/>
      <c r="AR50" s="315"/>
      <c r="AS50" s="316"/>
      <c r="AT50" s="317"/>
      <c r="AU50" s="19"/>
      <c r="AV50" s="4"/>
      <c r="AW50" s="29"/>
      <c r="AX50" s="29"/>
      <c r="AY50" s="277"/>
      <c r="AZ50" s="277"/>
      <c r="BA50" s="318"/>
      <c r="BB50" s="19"/>
      <c r="BC50" s="19"/>
      <c r="BD50" s="317"/>
      <c r="BE50" s="29"/>
      <c r="BF50" s="317"/>
      <c r="BG50" s="29"/>
      <c r="BH50" s="19"/>
      <c r="BI50" s="277"/>
      <c r="BJ50" s="277"/>
      <c r="BK50" s="319"/>
      <c r="BL50" s="277"/>
      <c r="BM50" s="277"/>
      <c r="BN50" s="29"/>
      <c r="BO50" s="320"/>
      <c r="BP50" s="30"/>
      <c r="BQ50" s="19"/>
      <c r="BR50" s="278"/>
      <c r="BS50" s="317"/>
      <c r="BT50" s="317"/>
      <c r="BU50" s="321"/>
      <c r="BV50" s="8"/>
      <c r="BW50" s="8"/>
      <c r="BX50" s="279"/>
      <c r="BY50" s="280"/>
      <c r="BZ50" s="281"/>
      <c r="CA50" s="280"/>
      <c r="CB50" s="281"/>
      <c r="CC50" s="14"/>
      <c r="CD50" s="14"/>
      <c r="CE50" s="14"/>
      <c r="CF50" s="14"/>
      <c r="CG50" s="14"/>
      <c r="CH50" s="14"/>
      <c r="CI50" s="14"/>
      <c r="CJ50" s="14"/>
      <c r="CK50" s="14"/>
      <c r="CL50" s="14"/>
    </row>
    <row r="51" spans="1:80" ht="52.5">
      <c r="A51" s="101" t="s">
        <v>81</v>
      </c>
      <c r="B51" s="101" t="s">
        <v>82</v>
      </c>
      <c r="C51" s="101"/>
      <c r="D51" s="101"/>
      <c r="E51" s="67"/>
      <c r="F51" s="67"/>
      <c r="G51" s="67"/>
      <c r="H51" s="67"/>
      <c r="I51" s="102"/>
      <c r="J51" s="216"/>
      <c r="K51" s="216"/>
      <c r="L51" s="114">
        <f>SUM(L52:L53)</f>
        <v>1153.6000000000001</v>
      </c>
      <c r="M51" s="114"/>
      <c r="N51" s="114">
        <f>SUM(N52:N53)</f>
        <v>1363</v>
      </c>
      <c r="O51" s="114">
        <f aca="true" t="shared" si="11" ref="O51:V51">SUM(O52:O53)</f>
        <v>1363</v>
      </c>
      <c r="P51" s="114">
        <f t="shared" si="11"/>
        <v>0</v>
      </c>
      <c r="Q51" s="114">
        <f t="shared" si="11"/>
        <v>1450.3</v>
      </c>
      <c r="R51" s="114">
        <f t="shared" si="11"/>
        <v>1450.3</v>
      </c>
      <c r="S51" s="114">
        <f t="shared" si="11"/>
        <v>0</v>
      </c>
      <c r="T51" s="114">
        <f t="shared" si="11"/>
        <v>1540.1999999999998</v>
      </c>
      <c r="U51" s="114">
        <f t="shared" si="11"/>
        <v>1540.1999999999998</v>
      </c>
      <c r="V51" s="114">
        <f t="shared" si="11"/>
        <v>0</v>
      </c>
      <c r="W51" s="4"/>
      <c r="X51" s="4"/>
      <c r="Y51" s="4"/>
      <c r="Z51" s="4"/>
      <c r="AA51" s="4"/>
      <c r="AB51" s="4"/>
      <c r="AC51" s="4"/>
      <c r="AD51" s="4"/>
      <c r="AE51" s="4"/>
      <c r="AF51" s="315"/>
      <c r="AG51" s="19"/>
      <c r="AH51" s="277"/>
      <c r="AI51" s="277"/>
      <c r="AJ51" s="318"/>
      <c r="AK51" s="277"/>
      <c r="AL51" s="314"/>
      <c r="AM51" s="58"/>
      <c r="AN51" s="19"/>
      <c r="AO51" s="277"/>
      <c r="AP51" s="277"/>
      <c r="AQ51" s="315"/>
      <c r="AR51" s="315"/>
      <c r="AS51" s="316"/>
      <c r="AT51" s="317"/>
      <c r="AU51" s="19"/>
      <c r="AV51" s="4"/>
      <c r="AW51" s="29"/>
      <c r="AX51" s="29"/>
      <c r="AY51" s="277"/>
      <c r="AZ51" s="277"/>
      <c r="BA51" s="318"/>
      <c r="BB51" s="19"/>
      <c r="BC51" s="19"/>
      <c r="BD51" s="317"/>
      <c r="BE51" s="29"/>
      <c r="BF51" s="317"/>
      <c r="BG51" s="29"/>
      <c r="BH51" s="19"/>
      <c r="BI51" s="277"/>
      <c r="BJ51" s="277"/>
      <c r="BK51" s="319"/>
      <c r="BL51" s="277"/>
      <c r="BM51" s="277"/>
      <c r="BN51" s="29"/>
      <c r="BO51" s="320"/>
      <c r="BP51" s="277"/>
      <c r="BQ51" s="19"/>
      <c r="BR51" s="278"/>
      <c r="BS51" s="317"/>
      <c r="BT51" s="317"/>
      <c r="BU51" s="321"/>
      <c r="BV51" s="8"/>
      <c r="BW51" s="8"/>
      <c r="BX51" s="279"/>
      <c r="BY51" s="280"/>
      <c r="BZ51" s="281"/>
      <c r="CA51" s="280"/>
      <c r="CB51" s="281"/>
    </row>
    <row r="52" spans="1:90" ht="337.5">
      <c r="A52" s="73" t="s">
        <v>84</v>
      </c>
      <c r="B52" s="74" t="s">
        <v>85</v>
      </c>
      <c r="C52" s="75" t="s">
        <v>86</v>
      </c>
      <c r="D52" s="74"/>
      <c r="E52" s="76" t="s">
        <v>162</v>
      </c>
      <c r="F52" s="76" t="s">
        <v>163</v>
      </c>
      <c r="G52" s="76" t="s">
        <v>314</v>
      </c>
      <c r="H52" s="77" t="s">
        <v>164</v>
      </c>
      <c r="I52" s="78" t="s">
        <v>414</v>
      </c>
      <c r="J52" s="209" t="s">
        <v>477</v>
      </c>
      <c r="K52" s="209" t="s">
        <v>415</v>
      </c>
      <c r="L52" s="79">
        <f>SUM(1030.4+1.2+18.8)</f>
        <v>1050.4</v>
      </c>
      <c r="M52" s="79"/>
      <c r="N52" s="79">
        <v>1320</v>
      </c>
      <c r="O52" s="79">
        <v>1320</v>
      </c>
      <c r="P52" s="79"/>
      <c r="Q52" s="79">
        <v>1404.5</v>
      </c>
      <c r="R52" s="79">
        <v>1404.5</v>
      </c>
      <c r="S52" s="79"/>
      <c r="T52" s="79">
        <v>1491.6</v>
      </c>
      <c r="U52" s="79">
        <v>1491.6</v>
      </c>
      <c r="V52" s="79"/>
      <c r="W52" s="4"/>
      <c r="X52" s="4"/>
      <c r="Y52" s="4"/>
      <c r="Z52" s="4"/>
      <c r="AA52" s="4"/>
      <c r="AB52" s="4"/>
      <c r="AC52" s="4"/>
      <c r="AD52" s="4"/>
      <c r="AE52" s="4"/>
      <c r="AF52" s="315"/>
      <c r="AG52" s="19"/>
      <c r="AH52" s="277"/>
      <c r="AI52" s="277"/>
      <c r="AJ52" s="318"/>
      <c r="AK52" s="277"/>
      <c r="AL52" s="314"/>
      <c r="AM52" s="58"/>
      <c r="AN52" s="19"/>
      <c r="AO52" s="277"/>
      <c r="AP52" s="277"/>
      <c r="AQ52" s="315"/>
      <c r="AR52" s="315"/>
      <c r="AS52" s="316"/>
      <c r="AT52" s="317"/>
      <c r="AU52" s="19"/>
      <c r="AV52" s="4"/>
      <c r="AW52" s="29"/>
      <c r="AX52" s="29"/>
      <c r="AY52" s="277"/>
      <c r="AZ52" s="277"/>
      <c r="BA52" s="318"/>
      <c r="BB52" s="19"/>
      <c r="BC52" s="19"/>
      <c r="BD52" s="317"/>
      <c r="BE52" s="29"/>
      <c r="BF52" s="317"/>
      <c r="BG52" s="29"/>
      <c r="BH52" s="19"/>
      <c r="BI52" s="277"/>
      <c r="BJ52" s="277"/>
      <c r="BK52" s="319"/>
      <c r="BL52" s="277"/>
      <c r="BM52" s="277"/>
      <c r="BN52" s="277"/>
      <c r="BO52" s="320"/>
      <c r="BP52" s="277"/>
      <c r="BQ52" s="19"/>
      <c r="BR52" s="278"/>
      <c r="BS52" s="317"/>
      <c r="BT52" s="317"/>
      <c r="BU52" s="321"/>
      <c r="BV52" s="8"/>
      <c r="BW52" s="8"/>
      <c r="BX52" s="279"/>
      <c r="BY52" s="280"/>
      <c r="BZ52" s="281"/>
      <c r="CA52" s="280"/>
      <c r="CB52" s="281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ht="81.75" customHeight="1">
      <c r="A53" s="22" t="s">
        <v>90</v>
      </c>
      <c r="B53" s="74" t="s">
        <v>91</v>
      </c>
      <c r="C53" s="75" t="s">
        <v>86</v>
      </c>
      <c r="D53" s="74"/>
      <c r="E53" s="76" t="s">
        <v>11</v>
      </c>
      <c r="F53" s="76" t="s">
        <v>5</v>
      </c>
      <c r="G53" s="76" t="s">
        <v>316</v>
      </c>
      <c r="H53" s="77" t="s">
        <v>165</v>
      </c>
      <c r="I53" s="78" t="s">
        <v>92</v>
      </c>
      <c r="J53" s="209" t="s">
        <v>166</v>
      </c>
      <c r="K53" s="209" t="s">
        <v>93</v>
      </c>
      <c r="L53" s="79">
        <v>103.2</v>
      </c>
      <c r="M53" s="79"/>
      <c r="N53" s="79">
        <v>43</v>
      </c>
      <c r="O53" s="79">
        <v>43</v>
      </c>
      <c r="P53" s="79"/>
      <c r="Q53" s="79">
        <v>45.8</v>
      </c>
      <c r="R53" s="79">
        <v>45.8</v>
      </c>
      <c r="S53" s="79"/>
      <c r="T53" s="79">
        <v>48.6</v>
      </c>
      <c r="U53" s="79">
        <v>48.6</v>
      </c>
      <c r="V53" s="79"/>
      <c r="W53" s="4"/>
      <c r="X53" s="4"/>
      <c r="Y53" s="4"/>
      <c r="Z53" s="4"/>
      <c r="AA53" s="4"/>
      <c r="AB53" s="4"/>
      <c r="AC53" s="4"/>
      <c r="AD53" s="4"/>
      <c r="AE53" s="4"/>
      <c r="AF53" s="29"/>
      <c r="AG53" s="19"/>
      <c r="AH53" s="29"/>
      <c r="AI53" s="29"/>
      <c r="AJ53" s="29"/>
      <c r="AK53" s="29"/>
      <c r="AL53" s="29"/>
      <c r="AM53" s="29"/>
      <c r="AN53" s="19"/>
      <c r="AO53" s="29"/>
      <c r="AP53" s="29"/>
      <c r="AQ53" s="29"/>
      <c r="AR53" s="29"/>
      <c r="AS53" s="29"/>
      <c r="AT53" s="317"/>
      <c r="AU53" s="19"/>
      <c r="AV53" s="29"/>
      <c r="AW53" s="29"/>
      <c r="AX53" s="29"/>
      <c r="AY53" s="29"/>
      <c r="AZ53" s="29"/>
      <c r="BA53" s="29"/>
      <c r="BB53" s="19"/>
      <c r="BC53" s="19"/>
      <c r="BD53" s="29"/>
      <c r="BE53" s="29"/>
      <c r="BF53" s="29"/>
      <c r="BG53" s="29"/>
      <c r="BH53" s="19"/>
      <c r="BI53" s="29"/>
      <c r="BJ53" s="29"/>
      <c r="BK53" s="29"/>
      <c r="BL53" s="29"/>
      <c r="BM53" s="29"/>
      <c r="BN53" s="29"/>
      <c r="BO53" s="29"/>
      <c r="BP53" s="29"/>
      <c r="BQ53" s="19"/>
      <c r="BR53" s="278"/>
      <c r="BS53" s="4"/>
      <c r="BT53" s="314"/>
      <c r="BU53" s="321"/>
      <c r="BV53" s="8"/>
      <c r="BW53" s="8"/>
      <c r="BX53" s="279"/>
      <c r="BY53" s="280"/>
      <c r="BZ53" s="281"/>
      <c r="CA53" s="280"/>
      <c r="CB53" s="281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80" ht="12.75">
      <c r="A54" s="363" t="s">
        <v>167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100">
        <f>SUM(L55:L57)</f>
        <v>3567.7999999999997</v>
      </c>
      <c r="M54" s="100"/>
      <c r="N54" s="100">
        <f>SUM(N55:N57)</f>
        <v>3604.6000000000004</v>
      </c>
      <c r="O54" s="100">
        <f aca="true" t="shared" si="12" ref="O54:V54">SUM(O55:O57)</f>
        <v>3604.6000000000004</v>
      </c>
      <c r="P54" s="100">
        <f t="shared" si="12"/>
        <v>0</v>
      </c>
      <c r="Q54" s="100">
        <f>SUM(Q55:Q57)</f>
        <v>3835.6000000000004</v>
      </c>
      <c r="R54" s="100">
        <f t="shared" si="12"/>
        <v>3835.6000000000004</v>
      </c>
      <c r="S54" s="100">
        <f>SUM(S55:S57)</f>
        <v>0</v>
      </c>
      <c r="T54" s="100">
        <f t="shared" si="12"/>
        <v>4073.3</v>
      </c>
      <c r="U54" s="100">
        <f t="shared" si="12"/>
        <v>4073.3</v>
      </c>
      <c r="V54" s="100">
        <f t="shared" si="12"/>
        <v>0</v>
      </c>
      <c r="W54" s="324"/>
      <c r="X54" s="324"/>
      <c r="Y54" s="324"/>
      <c r="Z54" s="324"/>
      <c r="AA54" s="324"/>
      <c r="AB54" s="324"/>
      <c r="AC54" s="324"/>
      <c r="AD54" s="324"/>
      <c r="AE54" s="324"/>
      <c r="AF54" s="29"/>
      <c r="AG54" s="19"/>
      <c r="AH54" s="29"/>
      <c r="AI54" s="29"/>
      <c r="AJ54" s="29"/>
      <c r="AK54" s="29"/>
      <c r="AL54" s="29"/>
      <c r="AM54" s="29"/>
      <c r="AN54" s="19"/>
      <c r="AO54" s="29"/>
      <c r="AP54" s="29"/>
      <c r="AQ54" s="29"/>
      <c r="AR54" s="29"/>
      <c r="AS54" s="29"/>
      <c r="AT54" s="317"/>
      <c r="AU54" s="19"/>
      <c r="AV54" s="29"/>
      <c r="AW54" s="29"/>
      <c r="AX54" s="29"/>
      <c r="AY54" s="29"/>
      <c r="AZ54" s="29"/>
      <c r="BA54" s="304"/>
      <c r="BB54" s="19"/>
      <c r="BC54" s="19"/>
      <c r="BD54" s="29"/>
      <c r="BE54" s="29"/>
      <c r="BF54" s="29"/>
      <c r="BG54" s="29"/>
      <c r="BH54" s="19"/>
      <c r="BI54" s="29"/>
      <c r="BJ54" s="29"/>
      <c r="BK54" s="29"/>
      <c r="BL54" s="29"/>
      <c r="BM54" s="29"/>
      <c r="BN54" s="29"/>
      <c r="BO54" s="29"/>
      <c r="BP54" s="29"/>
      <c r="BQ54" s="19"/>
      <c r="BR54" s="278"/>
      <c r="BS54" s="4"/>
      <c r="BT54" s="314"/>
      <c r="BU54" s="321"/>
      <c r="BV54" s="8"/>
      <c r="BW54" s="8"/>
      <c r="BX54" s="279"/>
      <c r="BY54" s="280"/>
      <c r="BZ54" s="281"/>
      <c r="CA54" s="280"/>
      <c r="CB54" s="281"/>
    </row>
    <row r="55" spans="1:80" ht="381" customHeight="1">
      <c r="A55" s="381" t="s">
        <v>168</v>
      </c>
      <c r="B55" s="84" t="s">
        <v>27</v>
      </c>
      <c r="C55" s="115" t="s">
        <v>86</v>
      </c>
      <c r="D55" s="115"/>
      <c r="E55" s="77" t="s">
        <v>169</v>
      </c>
      <c r="F55" s="77" t="s">
        <v>170</v>
      </c>
      <c r="G55" s="77" t="s">
        <v>317</v>
      </c>
      <c r="H55" s="77" t="s">
        <v>171</v>
      </c>
      <c r="I55" s="92" t="s">
        <v>416</v>
      </c>
      <c r="J55" s="212" t="s">
        <v>476</v>
      </c>
      <c r="K55" s="212" t="s">
        <v>172</v>
      </c>
      <c r="L55" s="116">
        <f>SUM(942.3+0.8+54.8+954.8+6.8+57.5)</f>
        <v>2016.9999999999998</v>
      </c>
      <c r="M55" s="116"/>
      <c r="N55" s="116">
        <f>SUM(1010.6+934.7)</f>
        <v>1945.3000000000002</v>
      </c>
      <c r="O55" s="116">
        <f>SUM(1010.6+934.7)</f>
        <v>1945.3000000000002</v>
      </c>
      <c r="P55" s="117"/>
      <c r="Q55" s="118">
        <f>SUM(1075.3+994.7)</f>
        <v>2070</v>
      </c>
      <c r="R55" s="118">
        <f>SUM(1075.3+994.7)</f>
        <v>2070</v>
      </c>
      <c r="S55" s="119"/>
      <c r="T55" s="117">
        <f>SUM(1141.9+1056.4)</f>
        <v>2198.3</v>
      </c>
      <c r="U55" s="117">
        <f>SUM(1141.9+1056.4)</f>
        <v>2198.3</v>
      </c>
      <c r="V55" s="119"/>
      <c r="W55" s="324"/>
      <c r="X55" s="324"/>
      <c r="Y55" s="324"/>
      <c r="Z55" s="324"/>
      <c r="AA55" s="324"/>
      <c r="AB55" s="324"/>
      <c r="AC55" s="324"/>
      <c r="AD55" s="324"/>
      <c r="AE55" s="324"/>
      <c r="AF55" s="29"/>
      <c r="AG55" s="19"/>
      <c r="AH55" s="29"/>
      <c r="AI55" s="29"/>
      <c r="AJ55" s="29"/>
      <c r="AK55" s="29"/>
      <c r="AL55" s="29"/>
      <c r="AM55" s="29"/>
      <c r="AN55" s="19"/>
      <c r="AO55" s="29"/>
      <c r="AP55" s="29"/>
      <c r="AQ55" s="29"/>
      <c r="AR55" s="314"/>
      <c r="AS55" s="29"/>
      <c r="AT55" s="317"/>
      <c r="AU55" s="19"/>
      <c r="AV55" s="29"/>
      <c r="AW55" s="29"/>
      <c r="AX55" s="29"/>
      <c r="AY55" s="29"/>
      <c r="AZ55" s="29"/>
      <c r="BA55" s="58"/>
      <c r="BB55" s="19"/>
      <c r="BC55" s="19"/>
      <c r="BD55" s="29"/>
      <c r="BE55" s="314"/>
      <c r="BF55" s="29"/>
      <c r="BG55" s="29"/>
      <c r="BH55" s="19"/>
      <c r="BI55" s="29"/>
      <c r="BJ55" s="29"/>
      <c r="BK55" s="29"/>
      <c r="BL55" s="277"/>
      <c r="BM55" s="29"/>
      <c r="BN55" s="29"/>
      <c r="BO55" s="277"/>
      <c r="BP55" s="29"/>
      <c r="BQ55" s="19"/>
      <c r="BR55" s="278"/>
      <c r="BS55" s="8"/>
      <c r="BT55" s="58"/>
      <c r="BU55" s="321"/>
      <c r="BV55" s="8"/>
      <c r="BW55" s="8"/>
      <c r="BX55" s="279"/>
      <c r="BY55" s="280"/>
      <c r="BZ55" s="281"/>
      <c r="CA55" s="280"/>
      <c r="CB55" s="281"/>
    </row>
    <row r="56" spans="1:82" ht="261.75" customHeight="1">
      <c r="A56" s="382" t="s">
        <v>90</v>
      </c>
      <c r="B56" s="84" t="s">
        <v>173</v>
      </c>
      <c r="C56" s="115" t="s">
        <v>86</v>
      </c>
      <c r="D56" s="115"/>
      <c r="E56" s="77" t="s">
        <v>318</v>
      </c>
      <c r="F56" s="77" t="s">
        <v>319</v>
      </c>
      <c r="G56" s="77" t="s">
        <v>320</v>
      </c>
      <c r="H56" s="77" t="s">
        <v>321</v>
      </c>
      <c r="I56" s="92" t="s">
        <v>174</v>
      </c>
      <c r="J56" s="212" t="s">
        <v>475</v>
      </c>
      <c r="K56" s="212" t="s">
        <v>175</v>
      </c>
      <c r="L56" s="116">
        <f>SUM(219.7+684.5+216.1)</f>
        <v>1120.3</v>
      </c>
      <c r="M56" s="116"/>
      <c r="N56" s="116">
        <f>SUM(276.1+793.1+195.4)</f>
        <v>1264.6000000000001</v>
      </c>
      <c r="O56" s="116">
        <f>SUM(276.1+793.1+195.4)</f>
        <v>1264.6000000000001</v>
      </c>
      <c r="P56" s="117"/>
      <c r="Q56" s="117">
        <f>SUM(293.8+843.9+207.9)</f>
        <v>1345.6000000000001</v>
      </c>
      <c r="R56" s="117">
        <f>SUM(293.8+843.9+207.9)</f>
        <v>1345.6000000000001</v>
      </c>
      <c r="S56" s="117"/>
      <c r="T56" s="117">
        <f>SUM(312+896.2+220.8)</f>
        <v>1429</v>
      </c>
      <c r="U56" s="117">
        <f>SUM(312+896.2+220.8)</f>
        <v>1429</v>
      </c>
      <c r="V56" s="117"/>
      <c r="W56" s="324"/>
      <c r="X56" s="324"/>
      <c r="Y56" s="324"/>
      <c r="Z56" s="324"/>
      <c r="AA56" s="324"/>
      <c r="AB56" s="324"/>
      <c r="AC56" s="324"/>
      <c r="AD56" s="324"/>
      <c r="AE56" s="324"/>
      <c r="AF56" s="29"/>
      <c r="AG56" s="19"/>
      <c r="AH56" s="277"/>
      <c r="AI56" s="277"/>
      <c r="AJ56" s="277"/>
      <c r="AK56" s="277"/>
      <c r="AL56" s="29"/>
      <c r="AM56" s="29"/>
      <c r="AN56" s="19"/>
      <c r="AO56" s="277"/>
      <c r="AP56" s="277"/>
      <c r="AQ56" s="29"/>
      <c r="AR56" s="29"/>
      <c r="AS56" s="29"/>
      <c r="AT56" s="277"/>
      <c r="AU56" s="19"/>
      <c r="AV56" s="29"/>
      <c r="AW56" s="29"/>
      <c r="AX56" s="29"/>
      <c r="AY56" s="277"/>
      <c r="AZ56" s="29"/>
      <c r="BA56" s="277"/>
      <c r="BB56" s="19"/>
      <c r="BC56" s="19"/>
      <c r="BD56" s="29"/>
      <c r="BE56" s="29"/>
      <c r="BF56" s="29"/>
      <c r="BG56" s="29"/>
      <c r="BH56" s="19"/>
      <c r="BI56" s="277"/>
      <c r="BJ56" s="277"/>
      <c r="BK56" s="29"/>
      <c r="BL56" s="277"/>
      <c r="BM56" s="29"/>
      <c r="BN56" s="29"/>
      <c r="BO56" s="277"/>
      <c r="BP56" s="277"/>
      <c r="BQ56" s="19"/>
      <c r="BR56" s="278"/>
      <c r="BS56" s="4"/>
      <c r="BT56" s="4"/>
      <c r="BU56" s="8"/>
      <c r="BV56" s="4"/>
      <c r="BW56" s="4"/>
      <c r="BX56" s="279"/>
      <c r="BY56" s="280"/>
      <c r="BZ56" s="281"/>
      <c r="CA56" s="280"/>
      <c r="CB56" s="281"/>
      <c r="CC56" s="28">
        <f>SUM(BR56+BR57)</f>
        <v>0</v>
      </c>
      <c r="CD56" s="1">
        <f>SUM(T56+T57+X56+X57)</f>
        <v>1875</v>
      </c>
    </row>
    <row r="57" spans="1:80" ht="382.5">
      <c r="A57" s="382" t="s">
        <v>109</v>
      </c>
      <c r="B57" s="84" t="s">
        <v>176</v>
      </c>
      <c r="C57" s="115" t="s">
        <v>86</v>
      </c>
      <c r="D57" s="115"/>
      <c r="E57" s="77" t="s">
        <v>322</v>
      </c>
      <c r="F57" s="77" t="s">
        <v>323</v>
      </c>
      <c r="G57" s="77" t="s">
        <v>324</v>
      </c>
      <c r="H57" s="77" t="s">
        <v>325</v>
      </c>
      <c r="I57" s="80" t="s">
        <v>417</v>
      </c>
      <c r="J57" s="209" t="s">
        <v>100</v>
      </c>
      <c r="K57" s="209" t="s">
        <v>101</v>
      </c>
      <c r="L57" s="116">
        <f>SUM(3.3+427.2)</f>
        <v>430.5</v>
      </c>
      <c r="M57" s="116"/>
      <c r="N57" s="116">
        <f>SUM(4.7+390)</f>
        <v>394.7</v>
      </c>
      <c r="O57" s="116">
        <f>SUM(4.7+390)</f>
        <v>394.7</v>
      </c>
      <c r="P57" s="117"/>
      <c r="Q57" s="117">
        <f>SUM(5+415)</f>
        <v>420</v>
      </c>
      <c r="R57" s="117">
        <f>SUM(5+415)</f>
        <v>420</v>
      </c>
      <c r="S57" s="117"/>
      <c r="T57" s="117">
        <f>SUM(5.3+440.7)</f>
        <v>446</v>
      </c>
      <c r="U57" s="117">
        <f>SUM(5.3+440.7)</f>
        <v>446</v>
      </c>
      <c r="V57" s="117"/>
      <c r="W57" s="324"/>
      <c r="X57" s="324"/>
      <c r="Y57" s="324"/>
      <c r="Z57" s="324"/>
      <c r="AA57" s="324"/>
      <c r="AB57" s="324"/>
      <c r="AC57" s="324"/>
      <c r="AD57" s="324"/>
      <c r="AE57" s="324"/>
      <c r="AF57" s="29"/>
      <c r="AG57" s="19"/>
      <c r="AH57" s="29"/>
      <c r="AI57" s="277"/>
      <c r="AJ57" s="29"/>
      <c r="AK57" s="29"/>
      <c r="AL57" s="29"/>
      <c r="AM57" s="29"/>
      <c r="AN57" s="19"/>
      <c r="AO57" s="277"/>
      <c r="AP57" s="277"/>
      <c r="AQ57" s="29"/>
      <c r="AR57" s="29"/>
      <c r="AS57" s="29"/>
      <c r="AT57" s="277"/>
      <c r="AU57" s="19"/>
      <c r="AV57" s="29"/>
      <c r="AW57" s="29"/>
      <c r="AX57" s="29"/>
      <c r="AY57" s="29"/>
      <c r="AZ57" s="29"/>
      <c r="BA57" s="277"/>
      <c r="BB57" s="19"/>
      <c r="BC57" s="19"/>
      <c r="BD57" s="29"/>
      <c r="BE57" s="29"/>
      <c r="BF57" s="29"/>
      <c r="BG57" s="29"/>
      <c r="BH57" s="19"/>
      <c r="BI57" s="277"/>
      <c r="BJ57" s="277"/>
      <c r="BK57" s="29"/>
      <c r="BL57" s="277"/>
      <c r="BM57" s="29"/>
      <c r="BN57" s="29"/>
      <c r="BO57" s="277"/>
      <c r="BP57" s="277"/>
      <c r="BQ57" s="19"/>
      <c r="BR57" s="278"/>
      <c r="BS57" s="279"/>
      <c r="BT57" s="4"/>
      <c r="BU57" s="4"/>
      <c r="BV57" s="4"/>
      <c r="BW57" s="4"/>
      <c r="BX57" s="279"/>
      <c r="BY57" s="280"/>
      <c r="BZ57" s="281"/>
      <c r="CA57" s="280"/>
      <c r="CB57" s="281"/>
    </row>
    <row r="58" spans="1:80" ht="12.75">
      <c r="A58" s="262" t="s">
        <v>177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120">
        <f>SUM(L59)</f>
        <v>31738.7</v>
      </c>
      <c r="M58" s="120">
        <f aca="true" t="shared" si="13" ref="M58:V58">SUM(M59)</f>
        <v>0</v>
      </c>
      <c r="N58" s="120">
        <f t="shared" si="13"/>
        <v>31280.700000000004</v>
      </c>
      <c r="O58" s="120">
        <f t="shared" si="13"/>
        <v>31280.700000000004</v>
      </c>
      <c r="P58" s="120">
        <f t="shared" si="13"/>
        <v>0</v>
      </c>
      <c r="Q58" s="120">
        <f t="shared" si="13"/>
        <v>32253.2</v>
      </c>
      <c r="R58" s="120">
        <f t="shared" si="13"/>
        <v>32253.2</v>
      </c>
      <c r="S58" s="120">
        <f t="shared" si="13"/>
        <v>0</v>
      </c>
      <c r="T58" s="120">
        <f t="shared" si="13"/>
        <v>33255.9</v>
      </c>
      <c r="U58" s="120">
        <f t="shared" si="13"/>
        <v>33255.9</v>
      </c>
      <c r="V58" s="120">
        <f t="shared" si="13"/>
        <v>0</v>
      </c>
      <c r="W58" s="324"/>
      <c r="X58" s="324"/>
      <c r="Y58" s="324"/>
      <c r="Z58" s="324"/>
      <c r="AA58" s="324"/>
      <c r="AB58" s="324"/>
      <c r="AC58" s="324"/>
      <c r="AD58" s="324"/>
      <c r="AE58" s="324"/>
      <c r="AF58" s="29"/>
      <c r="AG58" s="19"/>
      <c r="AH58" s="277"/>
      <c r="AI58" s="277"/>
      <c r="AJ58" s="29"/>
      <c r="AK58" s="277"/>
      <c r="AL58" s="29"/>
      <c r="AM58" s="29"/>
      <c r="AN58" s="19"/>
      <c r="AO58" s="20"/>
      <c r="AP58" s="277"/>
      <c r="AQ58" s="277"/>
      <c r="AR58" s="277"/>
      <c r="AS58" s="277"/>
      <c r="AT58" s="277"/>
      <c r="AU58" s="19"/>
      <c r="AV58" s="29"/>
      <c r="AW58" s="29"/>
      <c r="AX58" s="29"/>
      <c r="AY58" s="277"/>
      <c r="AZ58" s="277"/>
      <c r="BA58" s="277"/>
      <c r="BB58" s="19"/>
      <c r="BC58" s="19"/>
      <c r="BD58" s="29"/>
      <c r="BE58" s="29"/>
      <c r="BF58" s="29"/>
      <c r="BG58" s="29"/>
      <c r="BH58" s="19"/>
      <c r="BI58" s="277"/>
      <c r="BJ58" s="29"/>
      <c r="BK58" s="29"/>
      <c r="BL58" s="277"/>
      <c r="BM58" s="29"/>
      <c r="BN58" s="29"/>
      <c r="BO58" s="277"/>
      <c r="BP58" s="277"/>
      <c r="BQ58" s="19"/>
      <c r="BR58" s="278"/>
      <c r="BS58" s="4"/>
      <c r="BT58" s="4"/>
      <c r="BU58" s="4"/>
      <c r="BV58" s="4"/>
      <c r="BW58" s="4"/>
      <c r="BX58" s="279"/>
      <c r="BY58" s="280"/>
      <c r="BZ58" s="281"/>
      <c r="CA58" s="280"/>
      <c r="CB58" s="281"/>
    </row>
    <row r="59" spans="1:80" ht="12.75">
      <c r="A59" s="383" t="s">
        <v>178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118">
        <f>SUM(L60:L64)</f>
        <v>31738.7</v>
      </c>
      <c r="M59" s="118">
        <f aca="true" t="shared" si="14" ref="M59:V59">SUM(M60:M64)</f>
        <v>0</v>
      </c>
      <c r="N59" s="118">
        <f t="shared" si="14"/>
        <v>31280.700000000004</v>
      </c>
      <c r="O59" s="118">
        <f t="shared" si="14"/>
        <v>31280.700000000004</v>
      </c>
      <c r="P59" s="118">
        <f t="shared" si="14"/>
        <v>0</v>
      </c>
      <c r="Q59" s="118">
        <f t="shared" si="14"/>
        <v>32253.2</v>
      </c>
      <c r="R59" s="118">
        <f t="shared" si="14"/>
        <v>32253.2</v>
      </c>
      <c r="S59" s="118">
        <f t="shared" si="14"/>
        <v>0</v>
      </c>
      <c r="T59" s="118">
        <f t="shared" si="14"/>
        <v>33255.9</v>
      </c>
      <c r="U59" s="118">
        <f t="shared" si="14"/>
        <v>33255.9</v>
      </c>
      <c r="V59" s="118">
        <f t="shared" si="14"/>
        <v>0</v>
      </c>
      <c r="W59" s="325"/>
      <c r="X59" s="325"/>
      <c r="Y59" s="325"/>
      <c r="Z59" s="325"/>
      <c r="AA59" s="325"/>
      <c r="AB59" s="325"/>
      <c r="AC59" s="325"/>
      <c r="AD59" s="325"/>
      <c r="AE59" s="325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326"/>
      <c r="AX59" s="326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292"/>
      <c r="BK59" s="306"/>
      <c r="BL59" s="19"/>
      <c r="BM59" s="19"/>
      <c r="BN59" s="19"/>
      <c r="BO59" s="19"/>
      <c r="BP59" s="19"/>
      <c r="BQ59" s="19"/>
      <c r="BR59" s="306"/>
      <c r="BS59" s="4"/>
      <c r="BT59" s="4"/>
      <c r="BU59" s="279"/>
      <c r="BV59" s="4"/>
      <c r="BW59" s="4"/>
      <c r="BX59" s="279"/>
      <c r="BY59" s="280"/>
      <c r="BZ59" s="281"/>
      <c r="CA59" s="280"/>
      <c r="CB59" s="281"/>
    </row>
    <row r="60" spans="1:80" ht="144.75" customHeight="1">
      <c r="A60" s="384" t="s">
        <v>179</v>
      </c>
      <c r="B60" s="84" t="s">
        <v>180</v>
      </c>
      <c r="C60" s="7" t="s">
        <v>181</v>
      </c>
      <c r="D60" s="385"/>
      <c r="E60" s="121" t="s">
        <v>559</v>
      </c>
      <c r="F60" s="121" t="s">
        <v>560</v>
      </c>
      <c r="G60" s="121" t="s">
        <v>558</v>
      </c>
      <c r="H60" s="121" t="s">
        <v>561</v>
      </c>
      <c r="I60" s="386" t="s">
        <v>521</v>
      </c>
      <c r="J60" s="387" t="s">
        <v>522</v>
      </c>
      <c r="K60" s="387" t="s">
        <v>523</v>
      </c>
      <c r="L60" s="118">
        <f>SUM(160.7+4446.3+156.7+1.6+16.9+37)</f>
        <v>4819.2</v>
      </c>
      <c r="M60" s="118"/>
      <c r="N60" s="118">
        <f>SUM(5164.6+35)</f>
        <v>5199.6</v>
      </c>
      <c r="O60" s="118">
        <f>SUM(5164.6+35)</f>
        <v>5199.6</v>
      </c>
      <c r="P60" s="118"/>
      <c r="Q60" s="118">
        <v>5532.1</v>
      </c>
      <c r="R60" s="118">
        <v>5532.1</v>
      </c>
      <c r="S60" s="118"/>
      <c r="T60" s="118">
        <v>5875.1</v>
      </c>
      <c r="U60" s="118">
        <v>5875.1</v>
      </c>
      <c r="V60" s="118"/>
      <c r="W60" s="325"/>
      <c r="X60" s="325"/>
      <c r="Y60" s="325"/>
      <c r="Z60" s="325"/>
      <c r="AA60" s="325"/>
      <c r="AB60" s="325"/>
      <c r="AC60" s="325"/>
      <c r="AD60" s="325"/>
      <c r="AE60" s="325"/>
      <c r="AF60" s="29"/>
      <c r="AG60" s="19"/>
      <c r="AH60" s="29"/>
      <c r="AI60" s="277"/>
      <c r="AJ60" s="29"/>
      <c r="AK60" s="29"/>
      <c r="AL60" s="29"/>
      <c r="AM60" s="29"/>
      <c r="AN60" s="19"/>
      <c r="AO60" s="277"/>
      <c r="AP60" s="277"/>
      <c r="AQ60" s="29"/>
      <c r="AR60" s="29"/>
      <c r="AS60" s="29"/>
      <c r="AT60" s="277"/>
      <c r="AU60" s="19"/>
      <c r="AV60" s="29"/>
      <c r="AW60" s="29"/>
      <c r="AX60" s="29"/>
      <c r="AY60" s="29"/>
      <c r="AZ60" s="29"/>
      <c r="BA60" s="29"/>
      <c r="BB60" s="19"/>
      <c r="BC60" s="19"/>
      <c r="BD60" s="29"/>
      <c r="BE60" s="29"/>
      <c r="BF60" s="29"/>
      <c r="BG60" s="29"/>
      <c r="BH60" s="19"/>
      <c r="BI60" s="29"/>
      <c r="BJ60" s="29"/>
      <c r="BK60" s="29"/>
      <c r="BL60" s="29"/>
      <c r="BM60" s="29"/>
      <c r="BN60" s="29"/>
      <c r="BO60" s="277"/>
      <c r="BP60" s="29"/>
      <c r="BQ60" s="19"/>
      <c r="BR60" s="278"/>
      <c r="BS60" s="279"/>
      <c r="BT60" s="4"/>
      <c r="BU60" s="4"/>
      <c r="BV60" s="4"/>
      <c r="BW60" s="4"/>
      <c r="BX60" s="279"/>
      <c r="BY60" s="280"/>
      <c r="BZ60" s="281"/>
      <c r="CA60" s="280"/>
      <c r="CB60" s="281"/>
    </row>
    <row r="61" spans="1:90" ht="372.75" customHeight="1">
      <c r="A61" s="121" t="s">
        <v>182</v>
      </c>
      <c r="B61" s="84" t="s">
        <v>183</v>
      </c>
      <c r="C61" s="7" t="s">
        <v>440</v>
      </c>
      <c r="D61" s="385"/>
      <c r="E61" s="121" t="s">
        <v>562</v>
      </c>
      <c r="F61" s="121" t="s">
        <v>563</v>
      </c>
      <c r="G61" s="121" t="s">
        <v>625</v>
      </c>
      <c r="H61" s="121" t="s">
        <v>564</v>
      </c>
      <c r="I61" s="386"/>
      <c r="J61" s="387"/>
      <c r="K61" s="387"/>
      <c r="L61" s="122">
        <f>SUM(16712.2+32.3+318.1+501.4+65.7+15.8)</f>
        <v>17645.5</v>
      </c>
      <c r="M61" s="122"/>
      <c r="N61" s="122">
        <f>SUM(17894.2+20+30+192+14.4)</f>
        <v>18150.600000000002</v>
      </c>
      <c r="O61" s="122">
        <f>SUM(17894.2+20+30+192+14.4)</f>
        <v>18150.600000000002</v>
      </c>
      <c r="P61" s="118"/>
      <c r="Q61" s="118">
        <f>SUM(18387.3+53.7+219.2)</f>
        <v>18660.2</v>
      </c>
      <c r="R61" s="118">
        <f>SUM(18387.3+53.7+219.2)</f>
        <v>18660.2</v>
      </c>
      <c r="S61" s="118"/>
      <c r="T61" s="118">
        <f>SUM(18895.6+57.3+232.9)</f>
        <v>19185.8</v>
      </c>
      <c r="U61" s="118">
        <f>SUM(18895.6+57.3+232.9)</f>
        <v>19185.8</v>
      </c>
      <c r="V61" s="118"/>
      <c r="W61" s="325"/>
      <c r="X61" s="325"/>
      <c r="Y61" s="325"/>
      <c r="Z61" s="325"/>
      <c r="AA61" s="325"/>
      <c r="AB61" s="325"/>
      <c r="AC61" s="325"/>
      <c r="AD61" s="325"/>
      <c r="AE61" s="325"/>
      <c r="AF61" s="29"/>
      <c r="AG61" s="19"/>
      <c r="AH61" s="29"/>
      <c r="AI61" s="277"/>
      <c r="AJ61" s="29"/>
      <c r="AK61" s="29"/>
      <c r="AL61" s="29"/>
      <c r="AM61" s="29"/>
      <c r="AN61" s="19"/>
      <c r="AO61" s="277"/>
      <c r="AP61" s="29"/>
      <c r="AQ61" s="29"/>
      <c r="AR61" s="29"/>
      <c r="AS61" s="29"/>
      <c r="AT61" s="29"/>
      <c r="AU61" s="19"/>
      <c r="AV61" s="29"/>
      <c r="AW61" s="29"/>
      <c r="AX61" s="29"/>
      <c r="AY61" s="29"/>
      <c r="AZ61" s="29"/>
      <c r="BA61" s="29"/>
      <c r="BB61" s="19"/>
      <c r="BC61" s="19"/>
      <c r="BD61" s="29"/>
      <c r="BE61" s="314"/>
      <c r="BF61" s="29"/>
      <c r="BG61" s="29"/>
      <c r="BH61" s="19"/>
      <c r="BI61" s="29"/>
      <c r="BJ61" s="29"/>
      <c r="BK61" s="29"/>
      <c r="BL61" s="29"/>
      <c r="BM61" s="29"/>
      <c r="BN61" s="29"/>
      <c r="BO61" s="327"/>
      <c r="BP61" s="29"/>
      <c r="BQ61" s="19"/>
      <c r="BR61" s="278"/>
      <c r="BS61" s="4"/>
      <c r="BT61" s="4"/>
      <c r="BU61" s="4"/>
      <c r="BV61" s="4"/>
      <c r="BW61" s="4"/>
      <c r="BX61" s="279"/>
      <c r="BY61" s="280"/>
      <c r="BZ61" s="281"/>
      <c r="CA61" s="280"/>
      <c r="CB61" s="281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ht="252.75" customHeight="1">
      <c r="A62" s="388" t="s">
        <v>184</v>
      </c>
      <c r="B62" s="84" t="s">
        <v>185</v>
      </c>
      <c r="C62" s="7" t="s">
        <v>186</v>
      </c>
      <c r="D62" s="115"/>
      <c r="E62" s="76" t="s">
        <v>569</v>
      </c>
      <c r="F62" s="76" t="s">
        <v>570</v>
      </c>
      <c r="G62" s="76" t="s">
        <v>626</v>
      </c>
      <c r="H62" s="76" t="s">
        <v>571</v>
      </c>
      <c r="I62" s="386"/>
      <c r="J62" s="387"/>
      <c r="K62" s="387"/>
      <c r="L62" s="122">
        <f>SUM(6.7+6050.3+286.7+39.5+373+25.7+22.5+40)</f>
        <v>6844.4</v>
      </c>
      <c r="M62" s="122"/>
      <c r="N62" s="122">
        <f>SUM(6463.7+260+27.5+25.6)</f>
        <v>6776.8</v>
      </c>
      <c r="O62" s="122">
        <f>SUM(6463.7+260+27.5+25.6)</f>
        <v>6776.8</v>
      </c>
      <c r="P62" s="118"/>
      <c r="Q62" s="118">
        <f>SUM(6552.1+276.1+29.2+27.2)</f>
        <v>6884.6</v>
      </c>
      <c r="R62" s="118">
        <f>SUM(6552.1+276.1+29.2+27.2)</f>
        <v>6884.6</v>
      </c>
      <c r="S62" s="118"/>
      <c r="T62" s="118">
        <f>SUM(6643.1+293+31.5+28.9)</f>
        <v>6996.5</v>
      </c>
      <c r="U62" s="118">
        <f>SUM(6643.1+293+31.5+28.9)</f>
        <v>6996.5</v>
      </c>
      <c r="V62" s="118"/>
      <c r="W62" s="325"/>
      <c r="X62" s="325"/>
      <c r="Y62" s="325"/>
      <c r="Z62" s="325"/>
      <c r="AA62" s="325"/>
      <c r="AB62" s="325"/>
      <c r="AC62" s="325"/>
      <c r="AD62" s="325"/>
      <c r="AE62" s="325"/>
      <c r="AF62" s="29"/>
      <c r="AG62" s="19"/>
      <c r="AH62" s="29"/>
      <c r="AI62" s="277"/>
      <c r="AJ62" s="29"/>
      <c r="AK62" s="29"/>
      <c r="AL62" s="29"/>
      <c r="AM62" s="29"/>
      <c r="AN62" s="19"/>
      <c r="AO62" s="29"/>
      <c r="AP62" s="29"/>
      <c r="AQ62" s="29"/>
      <c r="AR62" s="29"/>
      <c r="AS62" s="29"/>
      <c r="AT62" s="29"/>
      <c r="AU62" s="19"/>
      <c r="AV62" s="29"/>
      <c r="AW62" s="29"/>
      <c r="AX62" s="29"/>
      <c r="AY62" s="29"/>
      <c r="AZ62" s="29"/>
      <c r="BA62" s="29"/>
      <c r="BB62" s="19"/>
      <c r="BC62" s="19"/>
      <c r="BD62" s="29"/>
      <c r="BE62" s="29"/>
      <c r="BF62" s="277"/>
      <c r="BG62" s="29"/>
      <c r="BH62" s="19"/>
      <c r="BI62" s="29"/>
      <c r="BJ62" s="29"/>
      <c r="BK62" s="29"/>
      <c r="BL62" s="29"/>
      <c r="BM62" s="29"/>
      <c r="BN62" s="29"/>
      <c r="BO62" s="277"/>
      <c r="BP62" s="29"/>
      <c r="BQ62" s="19"/>
      <c r="BR62" s="285"/>
      <c r="BS62" s="4"/>
      <c r="BT62" s="4"/>
      <c r="BU62" s="4"/>
      <c r="BV62" s="4"/>
      <c r="BW62" s="4"/>
      <c r="BX62" s="279"/>
      <c r="BY62" s="280"/>
      <c r="BZ62" s="281"/>
      <c r="CA62" s="280"/>
      <c r="CB62" s="281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ht="178.5" customHeight="1">
      <c r="A63" s="389" t="s">
        <v>187</v>
      </c>
      <c r="B63" s="84" t="s">
        <v>188</v>
      </c>
      <c r="C63" s="7" t="s">
        <v>441</v>
      </c>
      <c r="D63" s="5"/>
      <c r="E63" s="76" t="s">
        <v>189</v>
      </c>
      <c r="F63" s="76" t="s">
        <v>190</v>
      </c>
      <c r="G63" s="76" t="s">
        <v>326</v>
      </c>
      <c r="H63" s="76" t="s">
        <v>191</v>
      </c>
      <c r="I63" s="386"/>
      <c r="J63" s="387"/>
      <c r="K63" s="387"/>
      <c r="L63" s="123">
        <f>SUM(1069.2+5.4+39.8)</f>
        <v>1114.4</v>
      </c>
      <c r="M63" s="123"/>
      <c r="N63" s="123">
        <f>SUM(1142.4+11.3)</f>
        <v>1153.7</v>
      </c>
      <c r="O63" s="123">
        <f>SUM(1142.4+11.3)</f>
        <v>1153.7</v>
      </c>
      <c r="P63" s="123"/>
      <c r="Q63" s="123">
        <f>SUM(1163.8+12.5)</f>
        <v>1176.3</v>
      </c>
      <c r="R63" s="123">
        <f>SUM(1163.8+12.5)</f>
        <v>1176.3</v>
      </c>
      <c r="S63" s="123"/>
      <c r="T63" s="123">
        <f>SUM(1185.8+12.7)</f>
        <v>1198.5</v>
      </c>
      <c r="U63" s="123">
        <f>SUM(1185.8+12.7)</f>
        <v>1198.5</v>
      </c>
      <c r="V63" s="124"/>
      <c r="W63" s="4"/>
      <c r="X63" s="4"/>
      <c r="Y63" s="4"/>
      <c r="Z63" s="4"/>
      <c r="AA63" s="4"/>
      <c r="AB63" s="4"/>
      <c r="AC63" s="4"/>
      <c r="AD63" s="4"/>
      <c r="AE63" s="4"/>
      <c r="AF63" s="29"/>
      <c r="AG63" s="19"/>
      <c r="AH63" s="29"/>
      <c r="AI63" s="29"/>
      <c r="AJ63" s="29"/>
      <c r="AK63" s="29"/>
      <c r="AL63" s="29"/>
      <c r="AM63" s="29"/>
      <c r="AN63" s="19"/>
      <c r="AO63" s="277"/>
      <c r="AP63" s="277"/>
      <c r="AQ63" s="29"/>
      <c r="AR63" s="29"/>
      <c r="AS63" s="29"/>
      <c r="AT63" s="29"/>
      <c r="AU63" s="19"/>
      <c r="AV63" s="29"/>
      <c r="AW63" s="29"/>
      <c r="AX63" s="29"/>
      <c r="AY63" s="29"/>
      <c r="AZ63" s="29"/>
      <c r="BA63" s="277"/>
      <c r="BB63" s="19"/>
      <c r="BC63" s="19"/>
      <c r="BD63" s="29"/>
      <c r="BE63" s="29"/>
      <c r="BF63" s="29"/>
      <c r="BG63" s="29"/>
      <c r="BH63" s="19"/>
      <c r="BI63" s="29"/>
      <c r="BJ63" s="29"/>
      <c r="BK63" s="29"/>
      <c r="BL63" s="29"/>
      <c r="BM63" s="29"/>
      <c r="BN63" s="29"/>
      <c r="BO63" s="277"/>
      <c r="BP63" s="29"/>
      <c r="BQ63" s="19"/>
      <c r="BR63" s="278"/>
      <c r="BS63" s="4"/>
      <c r="BT63" s="4"/>
      <c r="BU63" s="4"/>
      <c r="BV63" s="4"/>
      <c r="BW63" s="4"/>
      <c r="BX63" s="279"/>
      <c r="BY63" s="280"/>
      <c r="BZ63" s="281"/>
      <c r="CA63" s="280"/>
      <c r="CB63" s="281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ht="90">
      <c r="A64" s="121" t="s">
        <v>192</v>
      </c>
      <c r="B64" s="7" t="s">
        <v>193</v>
      </c>
      <c r="C64" s="125"/>
      <c r="D64" s="74"/>
      <c r="E64" s="121" t="s">
        <v>566</v>
      </c>
      <c r="F64" s="121" t="s">
        <v>567</v>
      </c>
      <c r="G64" s="121" t="s">
        <v>565</v>
      </c>
      <c r="H64" s="121" t="s">
        <v>568</v>
      </c>
      <c r="I64" s="386"/>
      <c r="J64" s="209"/>
      <c r="K64" s="209"/>
      <c r="L64" s="126">
        <f>SUM(300+110+258.2+547+100)</f>
        <v>1315.2</v>
      </c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4"/>
      <c r="X64" s="4"/>
      <c r="Y64" s="4"/>
      <c r="Z64" s="4"/>
      <c r="AA64" s="4"/>
      <c r="AB64" s="4"/>
      <c r="AC64" s="4"/>
      <c r="AD64" s="4"/>
      <c r="AE64" s="4"/>
      <c r="AF64" s="29"/>
      <c r="AG64" s="19"/>
      <c r="AH64" s="29"/>
      <c r="AI64" s="277"/>
      <c r="AJ64" s="29"/>
      <c r="AK64" s="29"/>
      <c r="AL64" s="29"/>
      <c r="AM64" s="29"/>
      <c r="AN64" s="19"/>
      <c r="AO64" s="29"/>
      <c r="AP64" s="29"/>
      <c r="AQ64" s="29"/>
      <c r="AR64" s="29"/>
      <c r="AS64" s="29"/>
      <c r="AT64" s="277"/>
      <c r="AU64" s="19"/>
      <c r="AV64" s="29"/>
      <c r="AW64" s="29"/>
      <c r="AX64" s="29"/>
      <c r="AY64" s="29"/>
      <c r="AZ64" s="29"/>
      <c r="BA64" s="29"/>
      <c r="BB64" s="19"/>
      <c r="BC64" s="19"/>
      <c r="BD64" s="29"/>
      <c r="BE64" s="29"/>
      <c r="BF64" s="29"/>
      <c r="BG64" s="29"/>
      <c r="BH64" s="19"/>
      <c r="BI64" s="29"/>
      <c r="BJ64" s="29"/>
      <c r="BK64" s="29"/>
      <c r="BL64" s="277"/>
      <c r="BM64" s="29"/>
      <c r="BN64" s="29"/>
      <c r="BO64" s="277"/>
      <c r="BP64" s="29"/>
      <c r="BQ64" s="19"/>
      <c r="BR64" s="285"/>
      <c r="BS64" s="4"/>
      <c r="BT64" s="4"/>
      <c r="BU64" s="4"/>
      <c r="BV64" s="4"/>
      <c r="BW64" s="4"/>
      <c r="BX64" s="279"/>
      <c r="BY64" s="280"/>
      <c r="BZ64" s="281"/>
      <c r="CA64" s="280"/>
      <c r="CB64" s="281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ht="12.75">
      <c r="A65" s="165" t="s">
        <v>19</v>
      </c>
      <c r="B65" s="260" t="s">
        <v>12</v>
      </c>
      <c r="C65" s="260"/>
      <c r="D65" s="260"/>
      <c r="E65" s="260"/>
      <c r="F65" s="260"/>
      <c r="G65" s="260"/>
      <c r="H65" s="260"/>
      <c r="I65" s="260"/>
      <c r="J65" s="260"/>
      <c r="K65" s="220"/>
      <c r="L65" s="127">
        <f>SUM(L66)</f>
        <v>94249.69999999998</v>
      </c>
      <c r="M65" s="127">
        <f>SUM(M66)</f>
        <v>0</v>
      </c>
      <c r="N65" s="127">
        <f>SUM(N66)</f>
        <v>95977.5</v>
      </c>
      <c r="O65" s="127">
        <f aca="true" t="shared" si="15" ref="O65:V65">SUM(O66)</f>
        <v>95977.5</v>
      </c>
      <c r="P65" s="127">
        <f t="shared" si="15"/>
        <v>0</v>
      </c>
      <c r="Q65" s="127">
        <f t="shared" si="15"/>
        <v>99163.09999999998</v>
      </c>
      <c r="R65" s="127">
        <f t="shared" si="15"/>
        <v>99163.09999999998</v>
      </c>
      <c r="S65" s="127">
        <f t="shared" si="15"/>
        <v>0</v>
      </c>
      <c r="T65" s="127">
        <f t="shared" si="15"/>
        <v>102446.6</v>
      </c>
      <c r="U65" s="127">
        <f t="shared" si="15"/>
        <v>102446.6</v>
      </c>
      <c r="V65" s="127">
        <f t="shared" si="15"/>
        <v>0</v>
      </c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29"/>
      <c r="AU65" s="19"/>
      <c r="AV65" s="32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285"/>
      <c r="BS65" s="279"/>
      <c r="BT65" s="4"/>
      <c r="BU65" s="4"/>
      <c r="BV65" s="4"/>
      <c r="BW65" s="4"/>
      <c r="BX65" s="279"/>
      <c r="BY65" s="280"/>
      <c r="BZ65" s="281"/>
      <c r="CA65" s="280"/>
      <c r="CB65" s="281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ht="52.5">
      <c r="A66" s="101" t="s">
        <v>81</v>
      </c>
      <c r="B66" s="101" t="s">
        <v>194</v>
      </c>
      <c r="C66" s="101"/>
      <c r="D66" s="101"/>
      <c r="E66" s="67"/>
      <c r="F66" s="67"/>
      <c r="G66" s="67"/>
      <c r="H66" s="67"/>
      <c r="I66" s="102"/>
      <c r="J66" s="216"/>
      <c r="K66" s="216"/>
      <c r="L66" s="128">
        <f aca="true" t="shared" si="16" ref="L66:V66">SUM(L67+L71+L77+L75+L84)</f>
        <v>94249.69999999998</v>
      </c>
      <c r="M66" s="128">
        <f t="shared" si="16"/>
        <v>0</v>
      </c>
      <c r="N66" s="128">
        <f t="shared" si="16"/>
        <v>95977.5</v>
      </c>
      <c r="O66" s="128">
        <f t="shared" si="16"/>
        <v>95977.5</v>
      </c>
      <c r="P66" s="128">
        <f t="shared" si="16"/>
        <v>0</v>
      </c>
      <c r="Q66" s="128">
        <f t="shared" si="16"/>
        <v>99163.09999999998</v>
      </c>
      <c r="R66" s="128">
        <f t="shared" si="16"/>
        <v>99163.09999999998</v>
      </c>
      <c r="S66" s="128">
        <f t="shared" si="16"/>
        <v>0</v>
      </c>
      <c r="T66" s="128">
        <f t="shared" si="16"/>
        <v>102446.6</v>
      </c>
      <c r="U66" s="128">
        <f t="shared" si="16"/>
        <v>102446.6</v>
      </c>
      <c r="V66" s="128">
        <f t="shared" si="16"/>
        <v>0</v>
      </c>
      <c r="W66" s="330"/>
      <c r="X66" s="330"/>
      <c r="Y66" s="4"/>
      <c r="Z66" s="4"/>
      <c r="AA66" s="4"/>
      <c r="AB66" s="4"/>
      <c r="AC66" s="4"/>
      <c r="AD66" s="4"/>
      <c r="AE66" s="4"/>
      <c r="AF66" s="19"/>
      <c r="AG66" s="19"/>
      <c r="AH66" s="19"/>
      <c r="AI66" s="283"/>
      <c r="AJ66" s="19"/>
      <c r="AK66" s="283"/>
      <c r="AL66" s="19"/>
      <c r="AM66" s="19"/>
      <c r="AN66" s="278"/>
      <c r="AO66" s="283"/>
      <c r="AP66" s="331"/>
      <c r="AQ66" s="19"/>
      <c r="AR66" s="290"/>
      <c r="AS66" s="19"/>
      <c r="AT66" s="2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83"/>
      <c r="BP66" s="19"/>
      <c r="BQ66" s="19"/>
      <c r="BR66" s="278"/>
      <c r="BS66" s="4"/>
      <c r="BT66" s="4"/>
      <c r="BU66" s="4"/>
      <c r="BV66" s="4"/>
      <c r="BW66" s="4"/>
      <c r="BX66" s="279"/>
      <c r="BY66" s="280"/>
      <c r="BZ66" s="281"/>
      <c r="CA66" s="280"/>
      <c r="CB66" s="281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ht="12.75">
      <c r="A67" s="263" t="s">
        <v>195</v>
      </c>
      <c r="B67" s="263"/>
      <c r="C67" s="263"/>
      <c r="D67" s="263"/>
      <c r="E67" s="263"/>
      <c r="F67" s="263"/>
      <c r="G67" s="263"/>
      <c r="H67" s="263"/>
      <c r="I67" s="263"/>
      <c r="J67" s="221"/>
      <c r="K67" s="221"/>
      <c r="L67" s="129">
        <f aca="true" t="shared" si="17" ref="L67:V67">SUM(L68:L69)</f>
        <v>2170.3999999999996</v>
      </c>
      <c r="M67" s="129">
        <f t="shared" si="17"/>
        <v>0</v>
      </c>
      <c r="N67" s="129">
        <f t="shared" si="17"/>
        <v>2237</v>
      </c>
      <c r="O67" s="129">
        <f t="shared" si="17"/>
        <v>2237</v>
      </c>
      <c r="P67" s="129">
        <f t="shared" si="17"/>
        <v>0</v>
      </c>
      <c r="Q67" s="129">
        <f t="shared" si="17"/>
        <v>2246.2</v>
      </c>
      <c r="R67" s="129">
        <f t="shared" si="17"/>
        <v>2246.2</v>
      </c>
      <c r="S67" s="129">
        <f t="shared" si="17"/>
        <v>0</v>
      </c>
      <c r="T67" s="129">
        <f t="shared" si="17"/>
        <v>2255.8</v>
      </c>
      <c r="U67" s="129">
        <f t="shared" si="17"/>
        <v>2255.8</v>
      </c>
      <c r="V67" s="129">
        <f t="shared" si="17"/>
        <v>0</v>
      </c>
      <c r="W67" s="332"/>
      <c r="X67" s="333"/>
      <c r="Y67" s="333"/>
      <c r="Z67" s="333"/>
      <c r="AA67" s="333"/>
      <c r="AB67" s="333"/>
      <c r="AC67" s="333"/>
      <c r="AD67" s="333"/>
      <c r="AE67" s="333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283"/>
      <c r="AQ67" s="19"/>
      <c r="AR67" s="19"/>
      <c r="AS67" s="19"/>
      <c r="AT67" s="277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83"/>
      <c r="BP67" s="19"/>
      <c r="BQ67" s="19"/>
      <c r="BR67" s="278"/>
      <c r="BS67" s="4"/>
      <c r="BT67" s="4"/>
      <c r="BU67" s="4"/>
      <c r="BV67" s="4"/>
      <c r="BW67" s="4"/>
      <c r="BX67" s="279"/>
      <c r="BY67" s="280"/>
      <c r="BZ67" s="281"/>
      <c r="CA67" s="280"/>
      <c r="CB67" s="281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282" customHeight="1">
      <c r="A68" s="74" t="s">
        <v>84</v>
      </c>
      <c r="B68" s="74" t="s">
        <v>85</v>
      </c>
      <c r="C68" s="74"/>
      <c r="D68" s="74"/>
      <c r="E68" s="76" t="s">
        <v>627</v>
      </c>
      <c r="F68" s="76" t="s">
        <v>628</v>
      </c>
      <c r="G68" s="76" t="s">
        <v>629</v>
      </c>
      <c r="H68" s="77" t="s">
        <v>630</v>
      </c>
      <c r="I68" s="78" t="s">
        <v>419</v>
      </c>
      <c r="J68" s="209" t="s">
        <v>474</v>
      </c>
      <c r="K68" s="209" t="s">
        <v>418</v>
      </c>
      <c r="L68" s="126">
        <f>SUM(1651+17.6+29.8)</f>
        <v>1698.3999999999999</v>
      </c>
      <c r="M68" s="126"/>
      <c r="N68" s="126">
        <v>2092.5</v>
      </c>
      <c r="O68" s="126">
        <v>2092.5</v>
      </c>
      <c r="P68" s="126"/>
      <c r="Q68" s="126">
        <v>2092.5</v>
      </c>
      <c r="R68" s="126">
        <v>2092.5</v>
      </c>
      <c r="S68" s="126"/>
      <c r="T68" s="126">
        <v>2092.5</v>
      </c>
      <c r="U68" s="126">
        <v>2092.5</v>
      </c>
      <c r="V68" s="126"/>
      <c r="W68" s="4"/>
      <c r="X68" s="4"/>
      <c r="Y68" s="4"/>
      <c r="Z68" s="4"/>
      <c r="AA68" s="4"/>
      <c r="AB68" s="4"/>
      <c r="AC68" s="4"/>
      <c r="AD68" s="4"/>
      <c r="AE68" s="4"/>
      <c r="AF68" s="29"/>
      <c r="AG68" s="19"/>
      <c r="AH68" s="29"/>
      <c r="AI68" s="29"/>
      <c r="AJ68" s="29"/>
      <c r="AK68" s="29"/>
      <c r="AL68" s="29"/>
      <c r="AM68" s="29"/>
      <c r="AN68" s="19"/>
      <c r="AO68" s="29"/>
      <c r="AP68" s="334"/>
      <c r="AQ68" s="29"/>
      <c r="AR68" s="29"/>
      <c r="AS68" s="29"/>
      <c r="AT68" s="29"/>
      <c r="AU68" s="19"/>
      <c r="AV68" s="29"/>
      <c r="AW68" s="29"/>
      <c r="AX68" s="335"/>
      <c r="AY68" s="29"/>
      <c r="AZ68" s="29"/>
      <c r="BA68" s="282"/>
      <c r="BB68" s="19"/>
      <c r="BC68" s="19"/>
      <c r="BD68" s="29"/>
      <c r="BE68" s="29"/>
      <c r="BF68" s="29"/>
      <c r="BG68" s="29"/>
      <c r="BH68" s="19"/>
      <c r="BI68" s="29"/>
      <c r="BJ68" s="29"/>
      <c r="BK68" s="29"/>
      <c r="BL68" s="29"/>
      <c r="BM68" s="29"/>
      <c r="BN68" s="29"/>
      <c r="BO68" s="29"/>
      <c r="BP68" s="29"/>
      <c r="BQ68" s="19"/>
      <c r="BR68" s="278"/>
      <c r="BS68" s="279"/>
      <c r="BT68" s="4"/>
      <c r="BU68" s="4"/>
      <c r="BV68" s="4"/>
      <c r="BW68" s="4"/>
      <c r="BX68" s="279"/>
      <c r="BY68" s="280"/>
      <c r="BZ68" s="281"/>
      <c r="CA68" s="280"/>
      <c r="CB68" s="281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ht="82.5" customHeight="1">
      <c r="A69" s="74"/>
      <c r="B69" s="74" t="s">
        <v>91</v>
      </c>
      <c r="C69" s="74"/>
      <c r="D69" s="74"/>
      <c r="E69" s="76" t="s">
        <v>10</v>
      </c>
      <c r="F69" s="76" t="s">
        <v>8</v>
      </c>
      <c r="G69" s="76" t="s">
        <v>29</v>
      </c>
      <c r="H69" s="77" t="s">
        <v>33</v>
      </c>
      <c r="I69" s="78" t="s">
        <v>196</v>
      </c>
      <c r="J69" s="209" t="s">
        <v>442</v>
      </c>
      <c r="K69" s="209" t="s">
        <v>197</v>
      </c>
      <c r="L69" s="126">
        <f>SUM(268+204)</f>
        <v>472</v>
      </c>
      <c r="M69" s="126"/>
      <c r="N69" s="126">
        <f>SUM(144.5)</f>
        <v>144.5</v>
      </c>
      <c r="O69" s="126">
        <f>SUM(144.5)</f>
        <v>144.5</v>
      </c>
      <c r="P69" s="126"/>
      <c r="Q69" s="126">
        <f>SUM(153.7)</f>
        <v>153.7</v>
      </c>
      <c r="R69" s="126">
        <f>SUM(153.7)</f>
        <v>153.7</v>
      </c>
      <c r="S69" s="126"/>
      <c r="T69" s="126">
        <f>SUM(163.3)</f>
        <v>163.3</v>
      </c>
      <c r="U69" s="126">
        <f>SUM(163.3)</f>
        <v>163.3</v>
      </c>
      <c r="V69" s="126"/>
      <c r="W69" s="4"/>
      <c r="X69" s="4"/>
      <c r="Y69" s="4"/>
      <c r="Z69" s="4"/>
      <c r="AA69" s="4"/>
      <c r="AB69" s="4"/>
      <c r="AC69" s="4"/>
      <c r="AD69" s="4"/>
      <c r="AE69" s="4"/>
      <c r="AF69" s="29"/>
      <c r="AG69" s="19"/>
      <c r="AH69" s="29"/>
      <c r="AI69" s="29"/>
      <c r="AJ69" s="29"/>
      <c r="AK69" s="29"/>
      <c r="AL69" s="29"/>
      <c r="AM69" s="29"/>
      <c r="AN69" s="19"/>
      <c r="AO69" s="29"/>
      <c r="AP69" s="29"/>
      <c r="AQ69" s="29"/>
      <c r="AR69" s="29"/>
      <c r="AS69" s="29"/>
      <c r="AT69" s="29"/>
      <c r="AU69" s="19"/>
      <c r="AV69" s="29"/>
      <c r="AW69" s="29"/>
      <c r="AX69" s="336"/>
      <c r="AY69" s="29"/>
      <c r="AZ69" s="29"/>
      <c r="BA69" s="29"/>
      <c r="BB69" s="19"/>
      <c r="BC69" s="19"/>
      <c r="BD69" s="29"/>
      <c r="BE69" s="29"/>
      <c r="BF69" s="29"/>
      <c r="BG69" s="29"/>
      <c r="BH69" s="19"/>
      <c r="BI69" s="29"/>
      <c r="BJ69" s="29"/>
      <c r="BK69" s="29"/>
      <c r="BL69" s="29"/>
      <c r="BM69" s="29"/>
      <c r="BN69" s="29"/>
      <c r="BO69" s="29"/>
      <c r="BP69" s="29"/>
      <c r="BQ69" s="19"/>
      <c r="BR69" s="331"/>
      <c r="BS69" s="4"/>
      <c r="BT69" s="4"/>
      <c r="BU69" s="4"/>
      <c r="BV69" s="4"/>
      <c r="BW69" s="4"/>
      <c r="BX69" s="279"/>
      <c r="BY69" s="280"/>
      <c r="BZ69" s="281"/>
      <c r="CA69" s="280"/>
      <c r="CB69" s="281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:90" ht="82.5" customHeight="1">
      <c r="A70" s="74"/>
      <c r="B70" s="78" t="s">
        <v>94</v>
      </c>
      <c r="C70" s="74"/>
      <c r="D70" s="74"/>
      <c r="E70" s="76" t="s">
        <v>10</v>
      </c>
      <c r="F70" s="76" t="s">
        <v>8</v>
      </c>
      <c r="G70" s="76" t="s">
        <v>29</v>
      </c>
      <c r="H70" s="77" t="s">
        <v>37</v>
      </c>
      <c r="I70" s="78" t="s">
        <v>196</v>
      </c>
      <c r="J70" s="209" t="s">
        <v>442</v>
      </c>
      <c r="K70" s="209" t="s">
        <v>197</v>
      </c>
      <c r="L70" s="126">
        <v>16.2</v>
      </c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4"/>
      <c r="X70" s="4"/>
      <c r="Y70" s="4"/>
      <c r="Z70" s="4"/>
      <c r="AA70" s="4"/>
      <c r="AB70" s="4"/>
      <c r="AC70" s="4"/>
      <c r="AD70" s="4"/>
      <c r="AE70" s="4"/>
      <c r="AF70" s="29"/>
      <c r="AG70" s="19"/>
      <c r="AH70" s="29"/>
      <c r="AI70" s="29"/>
      <c r="AJ70" s="29"/>
      <c r="AK70" s="29"/>
      <c r="AL70" s="29"/>
      <c r="AM70" s="29"/>
      <c r="AN70" s="19"/>
      <c r="AO70" s="29"/>
      <c r="AP70" s="29"/>
      <c r="AQ70" s="29"/>
      <c r="AR70" s="29"/>
      <c r="AS70" s="29"/>
      <c r="AT70" s="29"/>
      <c r="AU70" s="19"/>
      <c r="AV70" s="29"/>
      <c r="AW70" s="29"/>
      <c r="AX70" s="336"/>
      <c r="AY70" s="29"/>
      <c r="AZ70" s="29"/>
      <c r="BA70" s="29"/>
      <c r="BB70" s="19"/>
      <c r="BC70" s="19"/>
      <c r="BD70" s="29"/>
      <c r="BE70" s="29"/>
      <c r="BF70" s="29"/>
      <c r="BG70" s="29"/>
      <c r="BH70" s="19"/>
      <c r="BI70" s="29"/>
      <c r="BJ70" s="29"/>
      <c r="BK70" s="29"/>
      <c r="BL70" s="29"/>
      <c r="BM70" s="29"/>
      <c r="BN70" s="29"/>
      <c r="BO70" s="29"/>
      <c r="BP70" s="29"/>
      <c r="BQ70" s="19"/>
      <c r="BR70" s="331"/>
      <c r="BS70" s="4"/>
      <c r="BT70" s="4"/>
      <c r="BU70" s="4"/>
      <c r="BV70" s="4"/>
      <c r="BW70" s="4"/>
      <c r="BX70" s="279"/>
      <c r="BY70" s="280"/>
      <c r="BZ70" s="281"/>
      <c r="CA70" s="280"/>
      <c r="CB70" s="281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ht="24.75" customHeight="1">
      <c r="A71" s="263" t="s">
        <v>198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131">
        <f>SUM(L72:L74)</f>
        <v>15953.5</v>
      </c>
      <c r="M71" s="131">
        <f>SUM(M72:M74)</f>
        <v>0</v>
      </c>
      <c r="N71" s="131">
        <f>SUM(N72:N74)</f>
        <v>15878.999999999998</v>
      </c>
      <c r="O71" s="131">
        <f aca="true" t="shared" si="18" ref="O71:V71">SUM(O72:O74)</f>
        <v>15878.999999999998</v>
      </c>
      <c r="P71" s="131">
        <f t="shared" si="18"/>
        <v>0</v>
      </c>
      <c r="Q71" s="131">
        <f>SUM(Q72:Q74)</f>
        <v>16202.5</v>
      </c>
      <c r="R71" s="131">
        <f t="shared" si="18"/>
        <v>16202.5</v>
      </c>
      <c r="S71" s="131">
        <f t="shared" si="18"/>
        <v>0</v>
      </c>
      <c r="T71" s="131">
        <f t="shared" si="18"/>
        <v>16535.8</v>
      </c>
      <c r="U71" s="131">
        <f t="shared" si="18"/>
        <v>16535.8</v>
      </c>
      <c r="V71" s="131">
        <f t="shared" si="18"/>
        <v>0</v>
      </c>
      <c r="W71" s="4"/>
      <c r="X71" s="4"/>
      <c r="Y71" s="4"/>
      <c r="Z71" s="4"/>
      <c r="AA71" s="4"/>
      <c r="AB71" s="4"/>
      <c r="AC71" s="4"/>
      <c r="AD71" s="4"/>
      <c r="AE71" s="4"/>
      <c r="AF71" s="29"/>
      <c r="AG71" s="19"/>
      <c r="AH71" s="29"/>
      <c r="AI71" s="29"/>
      <c r="AJ71" s="29"/>
      <c r="AK71" s="29"/>
      <c r="AL71" s="29"/>
      <c r="AM71" s="29"/>
      <c r="AN71" s="19"/>
      <c r="AO71" s="29"/>
      <c r="AP71" s="29"/>
      <c r="AQ71" s="29"/>
      <c r="AR71" s="29"/>
      <c r="AS71" s="29"/>
      <c r="AT71" s="29"/>
      <c r="AU71" s="19"/>
      <c r="AV71" s="29"/>
      <c r="AW71" s="29"/>
      <c r="AX71" s="337"/>
      <c r="AY71" s="29"/>
      <c r="AZ71" s="29"/>
      <c r="BA71" s="29"/>
      <c r="BB71" s="19"/>
      <c r="BC71" s="19"/>
      <c r="BD71" s="29"/>
      <c r="BE71" s="29"/>
      <c r="BF71" s="29"/>
      <c r="BG71" s="29"/>
      <c r="BH71" s="19"/>
      <c r="BI71" s="29"/>
      <c r="BJ71" s="29"/>
      <c r="BK71" s="29"/>
      <c r="BL71" s="29"/>
      <c r="BM71" s="29"/>
      <c r="BN71" s="29"/>
      <c r="BO71" s="29"/>
      <c r="BP71" s="29"/>
      <c r="BQ71" s="19"/>
      <c r="BR71" s="331"/>
      <c r="BS71" s="4"/>
      <c r="BT71" s="4"/>
      <c r="BU71" s="4"/>
      <c r="BV71" s="4"/>
      <c r="BW71" s="4"/>
      <c r="BX71" s="279"/>
      <c r="BY71" s="280"/>
      <c r="BZ71" s="281"/>
      <c r="CA71" s="280"/>
      <c r="CB71" s="281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:90" ht="297.75" customHeight="1">
      <c r="A72" s="132" t="s">
        <v>168</v>
      </c>
      <c r="B72" s="74" t="s">
        <v>199</v>
      </c>
      <c r="C72" s="132"/>
      <c r="D72" s="132"/>
      <c r="E72" s="133" t="s">
        <v>200</v>
      </c>
      <c r="F72" s="133" t="s">
        <v>201</v>
      </c>
      <c r="G72" s="133" t="s">
        <v>380</v>
      </c>
      <c r="H72" s="133" t="s">
        <v>202</v>
      </c>
      <c r="I72" s="134" t="s">
        <v>443</v>
      </c>
      <c r="J72" s="209" t="s">
        <v>451</v>
      </c>
      <c r="K72" s="209" t="s">
        <v>420</v>
      </c>
      <c r="L72" s="135">
        <f>SUM(565.4+9768.1+33.3)</f>
        <v>10366.8</v>
      </c>
      <c r="M72" s="135"/>
      <c r="N72" s="135">
        <f>SUM(10825.8)</f>
        <v>10825.8</v>
      </c>
      <c r="O72" s="135">
        <f>SUM(10825.8)</f>
        <v>10825.8</v>
      </c>
      <c r="P72" s="135"/>
      <c r="Q72" s="135">
        <f>SUM(10825.8)</f>
        <v>10825.8</v>
      </c>
      <c r="R72" s="135">
        <f>SUM(10825.8)</f>
        <v>10825.8</v>
      </c>
      <c r="S72" s="135"/>
      <c r="T72" s="135">
        <f>SUM(10825.8)</f>
        <v>10825.8</v>
      </c>
      <c r="U72" s="135">
        <f>SUM(10825.8)</f>
        <v>10825.8</v>
      </c>
      <c r="V72" s="135"/>
      <c r="W72" s="338"/>
      <c r="X72" s="338"/>
      <c r="Y72" s="338"/>
      <c r="Z72" s="338"/>
      <c r="AA72" s="338"/>
      <c r="AB72" s="338"/>
      <c r="AC72" s="338"/>
      <c r="AD72" s="338"/>
      <c r="AE72" s="338"/>
      <c r="AF72" s="29"/>
      <c r="AG72" s="19"/>
      <c r="AH72" s="29"/>
      <c r="AI72" s="29"/>
      <c r="AJ72" s="29"/>
      <c r="AK72" s="29"/>
      <c r="AL72" s="29"/>
      <c r="AM72" s="29"/>
      <c r="AN72" s="19"/>
      <c r="AO72" s="29"/>
      <c r="AP72" s="29"/>
      <c r="AQ72" s="29"/>
      <c r="AR72" s="29"/>
      <c r="AS72" s="29"/>
      <c r="AT72" s="30"/>
      <c r="AU72" s="19"/>
      <c r="AV72" s="29"/>
      <c r="AW72" s="294"/>
      <c r="AX72" s="29"/>
      <c r="AY72" s="29"/>
      <c r="AZ72" s="29"/>
      <c r="BA72" s="29"/>
      <c r="BB72" s="19"/>
      <c r="BC72" s="19"/>
      <c r="BD72" s="29"/>
      <c r="BE72" s="29"/>
      <c r="BF72" s="29"/>
      <c r="BG72" s="29"/>
      <c r="BH72" s="19"/>
      <c r="BI72" s="29"/>
      <c r="BJ72" s="29"/>
      <c r="BK72" s="29"/>
      <c r="BL72" s="29"/>
      <c r="BM72" s="29"/>
      <c r="BN72" s="29"/>
      <c r="BO72" s="277"/>
      <c r="BP72" s="29"/>
      <c r="BQ72" s="19"/>
      <c r="BR72" s="278"/>
      <c r="BS72" s="4"/>
      <c r="BT72" s="4"/>
      <c r="BU72" s="4"/>
      <c r="BV72" s="4"/>
      <c r="BW72" s="4"/>
      <c r="BX72" s="279"/>
      <c r="BY72" s="280"/>
      <c r="BZ72" s="281"/>
      <c r="CA72" s="280"/>
      <c r="CB72" s="281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ht="180">
      <c r="A73" s="136" t="s">
        <v>203</v>
      </c>
      <c r="B73" s="94" t="s">
        <v>173</v>
      </c>
      <c r="C73" s="94"/>
      <c r="D73" s="94"/>
      <c r="E73" s="137" t="s">
        <v>631</v>
      </c>
      <c r="F73" s="137" t="s">
        <v>632</v>
      </c>
      <c r="G73" s="137" t="s">
        <v>633</v>
      </c>
      <c r="H73" s="137" t="s">
        <v>634</v>
      </c>
      <c r="I73" s="134" t="s">
        <v>445</v>
      </c>
      <c r="J73" s="209" t="s">
        <v>450</v>
      </c>
      <c r="K73" s="209" t="s">
        <v>449</v>
      </c>
      <c r="L73" s="138">
        <f>SUM(693.6+18.3+1867.9+7.4+1400+367+900.1)</f>
        <v>5254.300000000001</v>
      </c>
      <c r="M73" s="138"/>
      <c r="N73" s="139">
        <f>SUM(980+1181.2+749.1+894+5+846.3)</f>
        <v>4655.599999999999</v>
      </c>
      <c r="O73" s="139">
        <f>SUM(980+1181.2+749.1+894+5+846.3)</f>
        <v>4655.599999999999</v>
      </c>
      <c r="P73" s="138"/>
      <c r="Q73" s="139">
        <f>SUM(1042.7+1256.8+797+951.2+5.3+900.5)</f>
        <v>4953.5</v>
      </c>
      <c r="R73" s="139">
        <f>SUM(1042.7+1256.8+797+951.2+5.3+900.5)</f>
        <v>4953.5</v>
      </c>
      <c r="S73" s="138"/>
      <c r="T73" s="139">
        <f>SUM(1107.4+1334.7+846.5+1010.2+5.6+956.3)</f>
        <v>5260.700000000001</v>
      </c>
      <c r="U73" s="139">
        <f>SUM(1107.4+1334.7+846.5+1010.2+5.6+956.3)</f>
        <v>5260.700000000001</v>
      </c>
      <c r="V73" s="138"/>
      <c r="W73" s="4"/>
      <c r="X73" s="4"/>
      <c r="Y73" s="4"/>
      <c r="Z73" s="4"/>
      <c r="AA73" s="4"/>
      <c r="AB73" s="4"/>
      <c r="AC73" s="4"/>
      <c r="AD73" s="4"/>
      <c r="AE73" s="4"/>
      <c r="AF73" s="29"/>
      <c r="AG73" s="19"/>
      <c r="AH73" s="29"/>
      <c r="AI73" s="29"/>
      <c r="AJ73" s="29"/>
      <c r="AK73" s="29"/>
      <c r="AL73" s="29"/>
      <c r="AM73" s="29"/>
      <c r="AN73" s="19"/>
      <c r="AO73" s="29"/>
      <c r="AP73" s="29"/>
      <c r="AQ73" s="29"/>
      <c r="AR73" s="29"/>
      <c r="AS73" s="29"/>
      <c r="AT73" s="29"/>
      <c r="AU73" s="19"/>
      <c r="AV73" s="29"/>
      <c r="AW73" s="29"/>
      <c r="AX73" s="29"/>
      <c r="AY73" s="29"/>
      <c r="AZ73" s="29"/>
      <c r="BA73" s="304"/>
      <c r="BB73" s="19"/>
      <c r="BC73" s="19"/>
      <c r="BD73" s="29"/>
      <c r="BE73" s="29"/>
      <c r="BF73" s="29"/>
      <c r="BG73" s="29"/>
      <c r="BH73" s="19"/>
      <c r="BI73" s="29"/>
      <c r="BJ73" s="29"/>
      <c r="BK73" s="29"/>
      <c r="BL73" s="29"/>
      <c r="BM73" s="29"/>
      <c r="BN73" s="29"/>
      <c r="BO73" s="29"/>
      <c r="BP73" s="29"/>
      <c r="BQ73" s="19"/>
      <c r="BR73" s="331"/>
      <c r="BS73" s="4"/>
      <c r="BT73" s="4"/>
      <c r="BU73" s="4"/>
      <c r="BV73" s="4"/>
      <c r="BW73" s="4"/>
      <c r="BX73" s="279"/>
      <c r="BY73" s="280"/>
      <c r="BZ73" s="281"/>
      <c r="CA73" s="280"/>
      <c r="CB73" s="281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ht="409.5">
      <c r="A74" s="74"/>
      <c r="B74" s="78" t="s">
        <v>94</v>
      </c>
      <c r="C74" s="74"/>
      <c r="D74" s="74"/>
      <c r="E74" s="76" t="s">
        <v>372</v>
      </c>
      <c r="F74" s="76" t="s">
        <v>375</v>
      </c>
      <c r="G74" s="76" t="s">
        <v>373</v>
      </c>
      <c r="H74" s="77" t="s">
        <v>374</v>
      </c>
      <c r="I74" s="78" t="s">
        <v>463</v>
      </c>
      <c r="J74" s="209" t="s">
        <v>472</v>
      </c>
      <c r="K74" s="209" t="s">
        <v>444</v>
      </c>
      <c r="L74" s="126">
        <f>SUM(145.4+68+72.4+4.3+6.1+20+3+13.2)</f>
        <v>332.40000000000003</v>
      </c>
      <c r="M74" s="126"/>
      <c r="N74" s="126">
        <f>SUM(155.5+92+77.5+4.3+6.1+20+3+8+14.2+17)</f>
        <v>397.6</v>
      </c>
      <c r="O74" s="126">
        <f>SUM(155.5+92+77.5+4.3+6.1+20+3+8+14.2+17)</f>
        <v>397.6</v>
      </c>
      <c r="P74" s="126"/>
      <c r="Q74" s="126">
        <f>SUM(165.5+97.9+82.5+4.6+6.5+21.3+3.2+8.5+15.1+18.1)</f>
        <v>423.20000000000005</v>
      </c>
      <c r="R74" s="126">
        <f>SUM(165.5+97.9+82.5+4.6+6.5+21.3+3.2+8.5+15.1+18.1)</f>
        <v>423.20000000000005</v>
      </c>
      <c r="S74" s="126"/>
      <c r="T74" s="126">
        <f>SUM(175.7+104+87.6+4.9+6.9+22.6+3.4+9+16+19.2)</f>
        <v>449.2999999999999</v>
      </c>
      <c r="U74" s="126">
        <f>SUM(175.7+104+87.6+4.9+6.9+22.6+3.4+9+16+19.2)</f>
        <v>449.2999999999999</v>
      </c>
      <c r="V74" s="126"/>
      <c r="W74" s="4"/>
      <c r="X74" s="4"/>
      <c r="Y74" s="4"/>
      <c r="Z74" s="4"/>
      <c r="AA74" s="4"/>
      <c r="AB74" s="4"/>
      <c r="AC74" s="4"/>
      <c r="AD74" s="4"/>
      <c r="AE74" s="4"/>
      <c r="AF74" s="29"/>
      <c r="AG74" s="19"/>
      <c r="AH74" s="29"/>
      <c r="AI74" s="29"/>
      <c r="AJ74" s="29"/>
      <c r="AK74" s="29"/>
      <c r="AL74" s="29"/>
      <c r="AM74" s="29"/>
      <c r="AN74" s="19"/>
      <c r="AO74" s="29"/>
      <c r="AP74" s="315"/>
      <c r="AQ74" s="29"/>
      <c r="AR74" s="29"/>
      <c r="AS74" s="29"/>
      <c r="AT74" s="29"/>
      <c r="AU74" s="19"/>
      <c r="AV74" s="29"/>
      <c r="AW74" s="29"/>
      <c r="AX74" s="315"/>
      <c r="AY74" s="29"/>
      <c r="AZ74" s="29"/>
      <c r="BA74" s="29"/>
      <c r="BB74" s="19"/>
      <c r="BC74" s="19"/>
      <c r="BD74" s="29"/>
      <c r="BE74" s="29"/>
      <c r="BF74" s="29"/>
      <c r="BG74" s="29"/>
      <c r="BH74" s="19"/>
      <c r="BI74" s="29"/>
      <c r="BJ74" s="29"/>
      <c r="BK74" s="29"/>
      <c r="BL74" s="29"/>
      <c r="BM74" s="29"/>
      <c r="BN74" s="29"/>
      <c r="BO74" s="29"/>
      <c r="BP74" s="29"/>
      <c r="BQ74" s="19"/>
      <c r="BR74" s="285"/>
      <c r="BS74" s="4"/>
      <c r="BT74" s="4"/>
      <c r="BU74" s="4"/>
      <c r="BV74" s="4"/>
      <c r="BW74" s="4"/>
      <c r="BX74" s="279"/>
      <c r="BY74" s="280"/>
      <c r="BZ74" s="281"/>
      <c r="CA74" s="280"/>
      <c r="CB74" s="281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:90" ht="42.75" customHeight="1">
      <c r="A75" s="390" t="s">
        <v>204</v>
      </c>
      <c r="B75" s="391" t="s">
        <v>205</v>
      </c>
      <c r="C75" s="391"/>
      <c r="D75" s="391"/>
      <c r="E75" s="391"/>
      <c r="F75" s="391"/>
      <c r="G75" s="391"/>
      <c r="H75" s="391"/>
      <c r="I75" s="391"/>
      <c r="J75" s="391"/>
      <c r="K75" s="391"/>
      <c r="L75" s="140">
        <f>SUM(L76)</f>
        <v>447</v>
      </c>
      <c r="M75" s="140">
        <f aca="true" t="shared" si="19" ref="M75:V75">SUM(M76)</f>
        <v>0</v>
      </c>
      <c r="N75" s="140">
        <f t="shared" si="19"/>
        <v>0</v>
      </c>
      <c r="O75" s="140">
        <f t="shared" si="19"/>
        <v>0</v>
      </c>
      <c r="P75" s="140">
        <f t="shared" si="19"/>
        <v>0</v>
      </c>
      <c r="Q75" s="140">
        <f t="shared" si="19"/>
        <v>0</v>
      </c>
      <c r="R75" s="140">
        <f t="shared" si="19"/>
        <v>0</v>
      </c>
      <c r="S75" s="140">
        <f t="shared" si="19"/>
        <v>0</v>
      </c>
      <c r="T75" s="140">
        <f t="shared" si="19"/>
        <v>0</v>
      </c>
      <c r="U75" s="140">
        <f t="shared" si="19"/>
        <v>0</v>
      </c>
      <c r="V75" s="140">
        <f t="shared" si="19"/>
        <v>0</v>
      </c>
      <c r="W75" s="296"/>
      <c r="X75" s="296"/>
      <c r="Y75" s="296"/>
      <c r="Z75" s="296"/>
      <c r="AA75" s="296"/>
      <c r="AB75" s="296"/>
      <c r="AC75" s="296"/>
      <c r="AD75" s="296"/>
      <c r="AE75" s="296"/>
      <c r="AF75" s="29"/>
      <c r="AG75" s="19"/>
      <c r="AH75" s="29"/>
      <c r="AI75" s="29"/>
      <c r="AJ75" s="29"/>
      <c r="AK75" s="29"/>
      <c r="AL75" s="29"/>
      <c r="AM75" s="29"/>
      <c r="AN75" s="19"/>
      <c r="AO75" s="29"/>
      <c r="AP75" s="29"/>
      <c r="AQ75" s="29"/>
      <c r="AR75" s="29"/>
      <c r="AS75" s="29"/>
      <c r="AT75" s="29"/>
      <c r="AU75" s="19"/>
      <c r="AV75" s="29"/>
      <c r="AW75" s="29"/>
      <c r="AX75" s="29"/>
      <c r="AY75" s="29"/>
      <c r="AZ75" s="29"/>
      <c r="BA75" s="29"/>
      <c r="BB75" s="19"/>
      <c r="BC75" s="19"/>
      <c r="BD75" s="29"/>
      <c r="BE75" s="29"/>
      <c r="BF75" s="339"/>
      <c r="BG75" s="29"/>
      <c r="BH75" s="19"/>
      <c r="BI75" s="29"/>
      <c r="BJ75" s="29"/>
      <c r="BK75" s="29"/>
      <c r="BL75" s="29"/>
      <c r="BM75" s="29"/>
      <c r="BN75" s="29"/>
      <c r="BO75" s="339"/>
      <c r="BP75" s="29"/>
      <c r="BQ75" s="19"/>
      <c r="BR75" s="19"/>
      <c r="BS75" s="4"/>
      <c r="BT75" s="4"/>
      <c r="BU75" s="4"/>
      <c r="BV75" s="4"/>
      <c r="BW75" s="4"/>
      <c r="BX75" s="279"/>
      <c r="BY75" s="280"/>
      <c r="BZ75" s="281"/>
      <c r="CA75" s="280"/>
      <c r="CB75" s="281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ht="58.5" customHeight="1">
      <c r="A76" s="392" t="s">
        <v>206</v>
      </c>
      <c r="B76" s="142" t="s">
        <v>36</v>
      </c>
      <c r="C76" s="142"/>
      <c r="D76" s="142"/>
      <c r="E76" s="143" t="s">
        <v>421</v>
      </c>
      <c r="F76" s="143" t="s">
        <v>639</v>
      </c>
      <c r="G76" s="143" t="s">
        <v>44</v>
      </c>
      <c r="H76" s="143" t="s">
        <v>35</v>
      </c>
      <c r="I76" s="134" t="s">
        <v>640</v>
      </c>
      <c r="J76" s="209" t="s">
        <v>641</v>
      </c>
      <c r="K76" s="209" t="s">
        <v>642</v>
      </c>
      <c r="L76" s="144">
        <f>SUM(87+360)</f>
        <v>447</v>
      </c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296"/>
      <c r="X76" s="296"/>
      <c r="Y76" s="296"/>
      <c r="Z76" s="296"/>
      <c r="AA76" s="296"/>
      <c r="AB76" s="296"/>
      <c r="AC76" s="296"/>
      <c r="AD76" s="296"/>
      <c r="AE76" s="296"/>
      <c r="AF76" s="29"/>
      <c r="AG76" s="19"/>
      <c r="AH76" s="29"/>
      <c r="AI76" s="29"/>
      <c r="AJ76" s="29"/>
      <c r="AK76" s="29"/>
      <c r="AL76" s="29"/>
      <c r="AM76" s="29"/>
      <c r="AN76" s="19"/>
      <c r="AO76" s="29"/>
      <c r="AP76" s="29"/>
      <c r="AQ76" s="29"/>
      <c r="AR76" s="29"/>
      <c r="AS76" s="29"/>
      <c r="AT76" s="29"/>
      <c r="AU76" s="19"/>
      <c r="AV76" s="29"/>
      <c r="AW76" s="29"/>
      <c r="AX76" s="29"/>
      <c r="AY76" s="29"/>
      <c r="AZ76" s="29"/>
      <c r="BA76" s="29"/>
      <c r="BB76" s="19"/>
      <c r="BC76" s="19"/>
      <c r="BD76" s="29"/>
      <c r="BE76" s="29"/>
      <c r="BF76" s="29"/>
      <c r="BG76" s="29"/>
      <c r="BH76" s="19"/>
      <c r="BI76" s="29"/>
      <c r="BJ76" s="29"/>
      <c r="BK76" s="340"/>
      <c r="BL76" s="283"/>
      <c r="BM76" s="277"/>
      <c r="BN76" s="277"/>
      <c r="BO76" s="277"/>
      <c r="BP76" s="29"/>
      <c r="BQ76" s="19"/>
      <c r="BR76" s="290"/>
      <c r="BS76" s="4"/>
      <c r="BT76" s="4"/>
      <c r="BU76" s="4"/>
      <c r="BV76" s="4"/>
      <c r="BW76" s="4"/>
      <c r="BX76" s="279"/>
      <c r="BY76" s="280"/>
      <c r="BZ76" s="281"/>
      <c r="CA76" s="280"/>
      <c r="CB76" s="281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ht="36.75" customHeight="1">
      <c r="A77" s="262" t="s">
        <v>177</v>
      </c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120">
        <f>SUM(L78)</f>
        <v>75571.4</v>
      </c>
      <c r="M77" s="120">
        <f>SUM(M78)+M83</f>
        <v>0</v>
      </c>
      <c r="N77" s="120">
        <f>SUM(N78)</f>
        <v>77861.5</v>
      </c>
      <c r="O77" s="120">
        <f aca="true" t="shared" si="20" ref="O77:V77">SUM(O78)</f>
        <v>77861.5</v>
      </c>
      <c r="P77" s="120">
        <f t="shared" si="20"/>
        <v>0</v>
      </c>
      <c r="Q77" s="120">
        <f t="shared" si="20"/>
        <v>80714.39999999998</v>
      </c>
      <c r="R77" s="120">
        <f t="shared" si="20"/>
        <v>80714.39999999998</v>
      </c>
      <c r="S77" s="120">
        <f t="shared" si="20"/>
        <v>0</v>
      </c>
      <c r="T77" s="120">
        <f t="shared" si="20"/>
        <v>83655</v>
      </c>
      <c r="U77" s="120">
        <f t="shared" si="20"/>
        <v>83655</v>
      </c>
      <c r="V77" s="120">
        <f t="shared" si="20"/>
        <v>0</v>
      </c>
      <c r="W77" s="324"/>
      <c r="X77" s="324"/>
      <c r="Y77" s="324"/>
      <c r="Z77" s="324"/>
      <c r="AA77" s="324"/>
      <c r="AB77" s="324"/>
      <c r="AC77" s="324"/>
      <c r="AD77" s="324"/>
      <c r="AE77" s="324"/>
      <c r="AF77" s="29"/>
      <c r="AG77" s="19"/>
      <c r="AH77" s="29"/>
      <c r="AI77" s="29"/>
      <c r="AJ77" s="29"/>
      <c r="AK77" s="29"/>
      <c r="AL77" s="29"/>
      <c r="AM77" s="29"/>
      <c r="AN77" s="19"/>
      <c r="AO77" s="29"/>
      <c r="AP77" s="29"/>
      <c r="AQ77" s="29"/>
      <c r="AR77" s="29"/>
      <c r="AS77" s="29"/>
      <c r="AT77" s="29"/>
      <c r="AU77" s="19"/>
      <c r="AV77" s="29"/>
      <c r="AW77" s="29"/>
      <c r="AX77" s="29"/>
      <c r="AY77" s="29"/>
      <c r="AZ77" s="29"/>
      <c r="BA77" s="29"/>
      <c r="BB77" s="19"/>
      <c r="BC77" s="19"/>
      <c r="BD77" s="29"/>
      <c r="BE77" s="29"/>
      <c r="BF77" s="29"/>
      <c r="BG77" s="29"/>
      <c r="BH77" s="19"/>
      <c r="BI77" s="29"/>
      <c r="BJ77" s="29"/>
      <c r="BK77" s="340"/>
      <c r="BL77" s="283"/>
      <c r="BM77" s="277"/>
      <c r="BN77" s="277"/>
      <c r="BO77" s="277"/>
      <c r="BP77" s="29"/>
      <c r="BQ77" s="19"/>
      <c r="BR77" s="290"/>
      <c r="BS77" s="4"/>
      <c r="BT77" s="4"/>
      <c r="BU77" s="4"/>
      <c r="BV77" s="4"/>
      <c r="BW77" s="4"/>
      <c r="BX77" s="279"/>
      <c r="BY77" s="280"/>
      <c r="BZ77" s="281"/>
      <c r="CA77" s="280"/>
      <c r="CB77" s="281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ht="12.75">
      <c r="A78" s="383" t="s">
        <v>178</v>
      </c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118">
        <f aca="true" t="shared" si="21" ref="L78:V78">SUM(L79:L83)</f>
        <v>75571.4</v>
      </c>
      <c r="M78" s="118">
        <f t="shared" si="21"/>
        <v>0</v>
      </c>
      <c r="N78" s="118">
        <f t="shared" si="21"/>
        <v>77861.5</v>
      </c>
      <c r="O78" s="118">
        <f t="shared" si="21"/>
        <v>77861.5</v>
      </c>
      <c r="P78" s="118">
        <f t="shared" si="21"/>
        <v>0</v>
      </c>
      <c r="Q78" s="118">
        <f t="shared" si="21"/>
        <v>80714.39999999998</v>
      </c>
      <c r="R78" s="118">
        <f t="shared" si="21"/>
        <v>80714.39999999998</v>
      </c>
      <c r="S78" s="118">
        <f t="shared" si="21"/>
        <v>0</v>
      </c>
      <c r="T78" s="118">
        <f t="shared" si="21"/>
        <v>83655</v>
      </c>
      <c r="U78" s="118">
        <f t="shared" si="21"/>
        <v>83655</v>
      </c>
      <c r="V78" s="118">
        <f t="shared" si="21"/>
        <v>0</v>
      </c>
      <c r="W78" s="325"/>
      <c r="X78" s="325"/>
      <c r="Y78" s="325"/>
      <c r="Z78" s="325"/>
      <c r="AA78" s="325"/>
      <c r="AB78" s="325"/>
      <c r="AC78" s="325"/>
      <c r="AD78" s="325"/>
      <c r="AE78" s="325"/>
      <c r="AF78" s="29"/>
      <c r="AG78" s="19"/>
      <c r="AH78" s="29"/>
      <c r="AI78" s="29"/>
      <c r="AJ78" s="29"/>
      <c r="AK78" s="29"/>
      <c r="AL78" s="29"/>
      <c r="AM78" s="29"/>
      <c r="AN78" s="19"/>
      <c r="AO78" s="29"/>
      <c r="AP78" s="29"/>
      <c r="AQ78" s="29"/>
      <c r="AR78" s="29"/>
      <c r="AS78" s="29"/>
      <c r="AT78" s="29"/>
      <c r="AU78" s="19"/>
      <c r="AV78" s="29"/>
      <c r="AW78" s="29"/>
      <c r="AX78" s="29"/>
      <c r="AY78" s="29"/>
      <c r="AZ78" s="29"/>
      <c r="BA78" s="29"/>
      <c r="BB78" s="19"/>
      <c r="BC78" s="19"/>
      <c r="BD78" s="29"/>
      <c r="BE78" s="29"/>
      <c r="BF78" s="29"/>
      <c r="BG78" s="29"/>
      <c r="BH78" s="19"/>
      <c r="BI78" s="29"/>
      <c r="BJ78" s="29"/>
      <c r="BK78" s="340"/>
      <c r="BL78" s="283"/>
      <c r="BM78" s="277"/>
      <c r="BN78" s="277"/>
      <c r="BO78" s="277"/>
      <c r="BP78" s="29"/>
      <c r="BQ78" s="19"/>
      <c r="BR78" s="290"/>
      <c r="BS78" s="4"/>
      <c r="BT78" s="4"/>
      <c r="BU78" s="4"/>
      <c r="BV78" s="4"/>
      <c r="BW78" s="4"/>
      <c r="BX78" s="279"/>
      <c r="BY78" s="280"/>
      <c r="BZ78" s="281"/>
      <c r="CA78" s="280"/>
      <c r="CB78" s="281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ht="111" customHeight="1">
      <c r="A79" s="384" t="s">
        <v>179</v>
      </c>
      <c r="B79" s="84" t="s">
        <v>207</v>
      </c>
      <c r="C79" s="125" t="s">
        <v>208</v>
      </c>
      <c r="D79" s="385"/>
      <c r="E79" s="121" t="s">
        <v>575</v>
      </c>
      <c r="F79" s="121" t="s">
        <v>574</v>
      </c>
      <c r="G79" s="121" t="s">
        <v>572</v>
      </c>
      <c r="H79" s="121" t="s">
        <v>573</v>
      </c>
      <c r="I79" s="393" t="s">
        <v>446</v>
      </c>
      <c r="J79" s="375" t="s">
        <v>447</v>
      </c>
      <c r="K79" s="375" t="s">
        <v>448</v>
      </c>
      <c r="L79" s="118">
        <f>SUM(20709+2589.1+26551.3+1191.5+472)</f>
        <v>51512.899999999994</v>
      </c>
      <c r="M79" s="118"/>
      <c r="N79" s="118">
        <f>SUM(31195.7+23054.7+265.8)</f>
        <v>54516.200000000004</v>
      </c>
      <c r="O79" s="118">
        <f>SUM(31195.7+23054.7+265.8)</f>
        <v>54516.200000000004</v>
      </c>
      <c r="P79" s="118"/>
      <c r="Q79" s="118">
        <f>SUM(32872.7+23054.7+282.8)</f>
        <v>56210.2</v>
      </c>
      <c r="R79" s="118">
        <f>SUM(32872.7+23054.7+282.8)</f>
        <v>56210.2</v>
      </c>
      <c r="S79" s="118"/>
      <c r="T79" s="118">
        <f>SUM(34601.3+23054.7+300.3)</f>
        <v>57956.3</v>
      </c>
      <c r="U79" s="118">
        <f>SUM(34601.3+23054.7+300.3)</f>
        <v>57956.3</v>
      </c>
      <c r="V79" s="118"/>
      <c r="W79" s="325"/>
      <c r="X79" s="325"/>
      <c r="Y79" s="325"/>
      <c r="Z79" s="325"/>
      <c r="AA79" s="325"/>
      <c r="AB79" s="325"/>
      <c r="AC79" s="325"/>
      <c r="AD79" s="325"/>
      <c r="AE79" s="325"/>
      <c r="AF79" s="29"/>
      <c r="AG79" s="19"/>
      <c r="AH79" s="29"/>
      <c r="AI79" s="29"/>
      <c r="AJ79" s="29"/>
      <c r="AK79" s="29"/>
      <c r="AL79" s="29"/>
      <c r="AM79" s="29"/>
      <c r="AN79" s="19"/>
      <c r="AO79" s="29"/>
      <c r="AP79" s="29"/>
      <c r="AQ79" s="29"/>
      <c r="AR79" s="29"/>
      <c r="AS79" s="29"/>
      <c r="AT79" s="29"/>
      <c r="AU79" s="19"/>
      <c r="AV79" s="29"/>
      <c r="AW79" s="29"/>
      <c r="AX79" s="29"/>
      <c r="AY79" s="29"/>
      <c r="AZ79" s="29"/>
      <c r="BA79" s="29"/>
      <c r="BB79" s="19"/>
      <c r="BC79" s="19"/>
      <c r="BD79" s="29"/>
      <c r="BE79" s="29"/>
      <c r="BF79" s="29"/>
      <c r="BG79" s="29"/>
      <c r="BH79" s="19"/>
      <c r="BI79" s="29"/>
      <c r="BJ79" s="29"/>
      <c r="BK79" s="340"/>
      <c r="BL79" s="283"/>
      <c r="BM79" s="277"/>
      <c r="BN79" s="277"/>
      <c r="BO79" s="277"/>
      <c r="BP79" s="29"/>
      <c r="BQ79" s="19"/>
      <c r="BR79" s="290"/>
      <c r="BS79" s="4"/>
      <c r="BT79" s="4"/>
      <c r="BU79" s="4"/>
      <c r="BV79" s="4"/>
      <c r="BW79" s="4"/>
      <c r="BX79" s="279"/>
      <c r="BY79" s="280"/>
      <c r="BZ79" s="281"/>
      <c r="CA79" s="280"/>
      <c r="CB79" s="281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:90" ht="135" customHeight="1">
      <c r="A80" s="74" t="s">
        <v>209</v>
      </c>
      <c r="B80" s="84" t="s">
        <v>210</v>
      </c>
      <c r="C80" s="125" t="s">
        <v>211</v>
      </c>
      <c r="D80" s="74"/>
      <c r="E80" s="121" t="s">
        <v>543</v>
      </c>
      <c r="F80" s="121" t="s">
        <v>544</v>
      </c>
      <c r="G80" s="121" t="s">
        <v>545</v>
      </c>
      <c r="H80" s="121" t="s">
        <v>546</v>
      </c>
      <c r="I80" s="393"/>
      <c r="J80" s="375"/>
      <c r="K80" s="375"/>
      <c r="L80" s="126">
        <f>SUM(168.9+14522)</f>
        <v>14690.9</v>
      </c>
      <c r="M80" s="126"/>
      <c r="N80" s="126">
        <f>SUM(16278.3)</f>
        <v>16278.3</v>
      </c>
      <c r="O80" s="126">
        <f>SUM(16278.3)</f>
        <v>16278.3</v>
      </c>
      <c r="P80" s="126"/>
      <c r="Q80" s="126">
        <f>SUM(17320.1)</f>
        <v>17320.1</v>
      </c>
      <c r="R80" s="126">
        <f>SUM(17320.1)</f>
        <v>17320.1</v>
      </c>
      <c r="S80" s="126"/>
      <c r="T80" s="126">
        <f>SUM(18394)</f>
        <v>18394</v>
      </c>
      <c r="U80" s="126">
        <f>SUM(18394)</f>
        <v>18394</v>
      </c>
      <c r="V80" s="126"/>
      <c r="W80" s="4"/>
      <c r="X80" s="4"/>
      <c r="Y80" s="4"/>
      <c r="Z80" s="4"/>
      <c r="AA80" s="4"/>
      <c r="AB80" s="4"/>
      <c r="AC80" s="4"/>
      <c r="AD80" s="4"/>
      <c r="AE80" s="4"/>
      <c r="AF80" s="29"/>
      <c r="AG80" s="19"/>
      <c r="AH80" s="29"/>
      <c r="AI80" s="29"/>
      <c r="AJ80" s="29"/>
      <c r="AK80" s="29"/>
      <c r="AL80" s="29"/>
      <c r="AM80" s="29"/>
      <c r="AN80" s="19"/>
      <c r="AO80" s="29"/>
      <c r="AP80" s="29"/>
      <c r="AQ80" s="29"/>
      <c r="AR80" s="29"/>
      <c r="AS80" s="29"/>
      <c r="AT80" s="29"/>
      <c r="AU80" s="19"/>
      <c r="AV80" s="29"/>
      <c r="AW80" s="29"/>
      <c r="AX80" s="29"/>
      <c r="AY80" s="29"/>
      <c r="AZ80" s="29"/>
      <c r="BA80" s="29"/>
      <c r="BB80" s="19"/>
      <c r="BC80" s="19"/>
      <c r="BD80" s="29"/>
      <c r="BE80" s="29"/>
      <c r="BF80" s="29"/>
      <c r="BG80" s="29"/>
      <c r="BH80" s="19"/>
      <c r="BI80" s="29"/>
      <c r="BJ80" s="29"/>
      <c r="BK80" s="340"/>
      <c r="BL80" s="283"/>
      <c r="BM80" s="277"/>
      <c r="BN80" s="277"/>
      <c r="BO80" s="277"/>
      <c r="BP80" s="29"/>
      <c r="BQ80" s="19"/>
      <c r="BR80" s="290"/>
      <c r="BS80" s="341"/>
      <c r="BT80" s="4"/>
      <c r="BU80" s="4"/>
      <c r="BV80" s="4"/>
      <c r="BW80" s="4"/>
      <c r="BX80" s="279"/>
      <c r="BY80" s="280"/>
      <c r="BZ80" s="281"/>
      <c r="CA80" s="280"/>
      <c r="CB80" s="281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:90" ht="249.75" customHeight="1">
      <c r="A81" s="74" t="s">
        <v>212</v>
      </c>
      <c r="B81" s="84" t="s">
        <v>213</v>
      </c>
      <c r="C81" s="125" t="s">
        <v>214</v>
      </c>
      <c r="D81" s="74"/>
      <c r="E81" s="121" t="s">
        <v>547</v>
      </c>
      <c r="F81" s="121" t="s">
        <v>548</v>
      </c>
      <c r="G81" s="121" t="s">
        <v>549</v>
      </c>
      <c r="H81" s="121" t="s">
        <v>550</v>
      </c>
      <c r="I81" s="393"/>
      <c r="J81" s="375"/>
      <c r="K81" s="375"/>
      <c r="L81" s="126">
        <f>SUM(3812.2+137.3+1272.3)</f>
        <v>5221.8</v>
      </c>
      <c r="M81" s="126"/>
      <c r="N81" s="126">
        <v>5986</v>
      </c>
      <c r="O81" s="126">
        <v>5986</v>
      </c>
      <c r="P81" s="126"/>
      <c r="Q81" s="126">
        <v>6033.9</v>
      </c>
      <c r="R81" s="126">
        <v>6033.9</v>
      </c>
      <c r="S81" s="126"/>
      <c r="T81" s="126">
        <v>6083.2</v>
      </c>
      <c r="U81" s="126">
        <v>6083.2</v>
      </c>
      <c r="V81" s="126"/>
      <c r="W81" s="4"/>
      <c r="X81" s="4"/>
      <c r="Y81" s="4"/>
      <c r="Z81" s="4"/>
      <c r="AA81" s="4"/>
      <c r="AB81" s="4"/>
      <c r="AC81" s="4"/>
      <c r="AD81" s="4"/>
      <c r="AE81" s="4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341"/>
      <c r="BT81" s="4"/>
      <c r="BU81" s="4"/>
      <c r="BV81" s="4"/>
      <c r="BW81" s="4"/>
      <c r="BX81" s="279"/>
      <c r="BY81" s="280"/>
      <c r="BZ81" s="281"/>
      <c r="CA81" s="280"/>
      <c r="CB81" s="281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ht="278.25" customHeight="1">
      <c r="A82" s="74" t="s">
        <v>215</v>
      </c>
      <c r="B82" s="84" t="s">
        <v>210</v>
      </c>
      <c r="C82" s="125" t="s">
        <v>216</v>
      </c>
      <c r="D82" s="74"/>
      <c r="E82" s="121" t="s">
        <v>376</v>
      </c>
      <c r="F82" s="121" t="s">
        <v>379</v>
      </c>
      <c r="G82" s="121" t="s">
        <v>377</v>
      </c>
      <c r="H82" s="121" t="s">
        <v>378</v>
      </c>
      <c r="I82" s="203" t="s">
        <v>217</v>
      </c>
      <c r="J82" s="209" t="s">
        <v>218</v>
      </c>
      <c r="K82" s="209" t="s">
        <v>219</v>
      </c>
      <c r="L82" s="126">
        <f>SUM(268.9+544.2)</f>
        <v>813.1</v>
      </c>
      <c r="M82" s="126"/>
      <c r="N82" s="126">
        <f>SUM(267+584)</f>
        <v>851</v>
      </c>
      <c r="O82" s="126">
        <f>SUM(267+584)</f>
        <v>851</v>
      </c>
      <c r="P82" s="126"/>
      <c r="Q82" s="126">
        <f>SUM(284.1+621.4)</f>
        <v>905.5</v>
      </c>
      <c r="R82" s="126">
        <f>SUM(284.1+621.4)</f>
        <v>905.5</v>
      </c>
      <c r="S82" s="126"/>
      <c r="T82" s="126">
        <f>SUM(301.7+659.9)</f>
        <v>961.5999999999999</v>
      </c>
      <c r="U82" s="126">
        <f>SUM(301.7+659.9)</f>
        <v>961.5999999999999</v>
      </c>
      <c r="V82" s="126"/>
      <c r="W82" s="4"/>
      <c r="X82" s="4"/>
      <c r="Y82" s="4"/>
      <c r="Z82" s="4"/>
      <c r="AA82" s="4"/>
      <c r="AB82" s="4"/>
      <c r="AC82" s="4"/>
      <c r="AD82" s="4"/>
      <c r="AE82" s="4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341"/>
      <c r="BT82" s="4"/>
      <c r="BU82" s="4"/>
      <c r="BV82" s="4"/>
      <c r="BW82" s="4"/>
      <c r="BX82" s="279"/>
      <c r="BY82" s="280"/>
      <c r="BZ82" s="281"/>
      <c r="CA82" s="280"/>
      <c r="CB82" s="281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ht="131.25" customHeight="1">
      <c r="A83" s="121" t="s">
        <v>221</v>
      </c>
      <c r="B83" s="204" t="s">
        <v>193</v>
      </c>
      <c r="C83" s="125"/>
      <c r="D83" s="74"/>
      <c r="E83" s="121" t="s">
        <v>637</v>
      </c>
      <c r="F83" s="121" t="s">
        <v>638</v>
      </c>
      <c r="G83" s="121" t="s">
        <v>635</v>
      </c>
      <c r="H83" s="121" t="s">
        <v>636</v>
      </c>
      <c r="I83" s="78" t="s">
        <v>422</v>
      </c>
      <c r="J83" s="209" t="s">
        <v>423</v>
      </c>
      <c r="K83" s="209" t="s">
        <v>424</v>
      </c>
      <c r="L83" s="126">
        <f>SUM(339.8+110.8+1498.8+79+131.9+80+620+308+54+50+60.4)</f>
        <v>3332.7000000000003</v>
      </c>
      <c r="M83" s="126"/>
      <c r="N83" s="126">
        <v>230</v>
      </c>
      <c r="O83" s="126">
        <v>230</v>
      </c>
      <c r="P83" s="126"/>
      <c r="Q83" s="126">
        <v>244.7</v>
      </c>
      <c r="R83" s="126">
        <v>244.7</v>
      </c>
      <c r="S83" s="126"/>
      <c r="T83" s="126">
        <v>259.9</v>
      </c>
      <c r="U83" s="126">
        <v>259.9</v>
      </c>
      <c r="V83" s="126"/>
      <c r="W83" s="4"/>
      <c r="X83" s="4"/>
      <c r="Y83" s="4"/>
      <c r="Z83" s="4"/>
      <c r="AA83" s="4"/>
      <c r="AB83" s="4"/>
      <c r="AC83" s="4"/>
      <c r="AD83" s="4"/>
      <c r="AE83" s="4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341"/>
      <c r="BT83" s="4"/>
      <c r="BU83" s="4"/>
      <c r="BV83" s="4"/>
      <c r="BW83" s="4"/>
      <c r="BX83" s="279"/>
      <c r="BY83" s="280"/>
      <c r="BZ83" s="281"/>
      <c r="CA83" s="280"/>
      <c r="CB83" s="281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80" ht="25.5" customHeight="1">
      <c r="A84" s="364" t="s">
        <v>223</v>
      </c>
      <c r="B84" s="394" t="s">
        <v>240</v>
      </c>
      <c r="C84" s="394"/>
      <c r="D84" s="394"/>
      <c r="E84" s="394"/>
      <c r="F84" s="394"/>
      <c r="G84" s="394"/>
      <c r="H84" s="394"/>
      <c r="I84" s="394"/>
      <c r="J84" s="394"/>
      <c r="K84" s="394"/>
      <c r="L84" s="155">
        <f>SUM(L86)</f>
        <v>107.4</v>
      </c>
      <c r="M84" s="155">
        <f aca="true" t="shared" si="22" ref="M84:V84">SUM(M86)</f>
        <v>0</v>
      </c>
      <c r="N84" s="155">
        <f t="shared" si="22"/>
        <v>0</v>
      </c>
      <c r="O84" s="155">
        <f t="shared" si="22"/>
        <v>0</v>
      </c>
      <c r="P84" s="155">
        <f t="shared" si="22"/>
        <v>0</v>
      </c>
      <c r="Q84" s="155">
        <f t="shared" si="22"/>
        <v>0</v>
      </c>
      <c r="R84" s="155">
        <f t="shared" si="22"/>
        <v>0</v>
      </c>
      <c r="S84" s="155">
        <f t="shared" si="22"/>
        <v>0</v>
      </c>
      <c r="T84" s="155">
        <f t="shared" si="22"/>
        <v>0</v>
      </c>
      <c r="U84" s="155">
        <f t="shared" si="22"/>
        <v>0</v>
      </c>
      <c r="V84" s="155">
        <f t="shared" si="22"/>
        <v>0</v>
      </c>
      <c r="W84" s="342"/>
      <c r="X84" s="342"/>
      <c r="Y84" s="342"/>
      <c r="Z84" s="342"/>
      <c r="AA84" s="342"/>
      <c r="AB84" s="342"/>
      <c r="AC84" s="342"/>
      <c r="AD84" s="342"/>
      <c r="AE84" s="342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</row>
    <row r="85" spans="1:90" ht="12.75">
      <c r="A85" s="395" t="s">
        <v>0</v>
      </c>
      <c r="B85" s="396"/>
      <c r="C85" s="396"/>
      <c r="D85" s="396"/>
      <c r="E85" s="396"/>
      <c r="F85" s="396"/>
      <c r="G85" s="396"/>
      <c r="H85" s="396"/>
      <c r="I85" s="156"/>
      <c r="J85" s="222"/>
      <c r="K85" s="222"/>
      <c r="L85" s="156"/>
      <c r="M85" s="156"/>
      <c r="N85" s="156"/>
      <c r="O85" s="157"/>
      <c r="P85" s="157"/>
      <c r="Q85" s="157"/>
      <c r="R85" s="157"/>
      <c r="S85" s="157"/>
      <c r="T85" s="157"/>
      <c r="U85" s="157"/>
      <c r="V85" s="157"/>
      <c r="W85" s="295"/>
      <c r="X85" s="295"/>
      <c r="Y85" s="295"/>
      <c r="Z85" s="295"/>
      <c r="AA85" s="295"/>
      <c r="AB85" s="295"/>
      <c r="AC85" s="295"/>
      <c r="AD85" s="295"/>
      <c r="AE85" s="295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16"/>
      <c r="CD85" s="16"/>
      <c r="CE85" s="16"/>
      <c r="CF85" s="16"/>
      <c r="CG85" s="16"/>
      <c r="CH85" s="16"/>
      <c r="CI85" s="16"/>
      <c r="CJ85" s="16"/>
      <c r="CK85" s="16"/>
      <c r="CL85" s="16"/>
    </row>
    <row r="86" spans="1:80" ht="110.25" customHeight="1">
      <c r="A86" s="73">
        <v>1.1</v>
      </c>
      <c r="B86" s="204" t="s">
        <v>371</v>
      </c>
      <c r="C86" s="5"/>
      <c r="D86" s="5"/>
      <c r="E86" s="76" t="s">
        <v>5</v>
      </c>
      <c r="F86" s="76" t="s">
        <v>11</v>
      </c>
      <c r="G86" s="76" t="s">
        <v>333</v>
      </c>
      <c r="H86" s="76" t="s">
        <v>45</v>
      </c>
      <c r="I86" s="92" t="s">
        <v>425</v>
      </c>
      <c r="J86" s="212" t="s">
        <v>426</v>
      </c>
      <c r="K86" s="212" t="s">
        <v>258</v>
      </c>
      <c r="L86" s="158">
        <v>107.4</v>
      </c>
      <c r="M86" s="158"/>
      <c r="N86" s="158"/>
      <c r="O86" s="158"/>
      <c r="P86" s="5"/>
      <c r="Q86" s="158"/>
      <c r="R86" s="158"/>
      <c r="S86" s="158"/>
      <c r="T86" s="158"/>
      <c r="U86" s="158"/>
      <c r="V86" s="5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</row>
    <row r="87" spans="1:90" ht="15">
      <c r="A87" s="165" t="s">
        <v>20</v>
      </c>
      <c r="B87" s="260" t="s">
        <v>222</v>
      </c>
      <c r="C87" s="260"/>
      <c r="D87" s="260"/>
      <c r="E87" s="260"/>
      <c r="F87" s="260"/>
      <c r="G87" s="260"/>
      <c r="H87" s="260"/>
      <c r="I87" s="260"/>
      <c r="J87" s="260"/>
      <c r="K87" s="219"/>
      <c r="L87" s="113">
        <f>SUM(L88)</f>
        <v>1573.9</v>
      </c>
      <c r="M87" s="113">
        <f aca="true" t="shared" si="23" ref="M87:V87">SUM(M88)</f>
        <v>0</v>
      </c>
      <c r="N87" s="113">
        <f t="shared" si="23"/>
        <v>1565</v>
      </c>
      <c r="O87" s="113">
        <f t="shared" si="23"/>
        <v>1565</v>
      </c>
      <c r="P87" s="113">
        <f t="shared" si="23"/>
        <v>0</v>
      </c>
      <c r="Q87" s="113">
        <f t="shared" si="23"/>
        <v>1665.1</v>
      </c>
      <c r="R87" s="113">
        <f t="shared" si="23"/>
        <v>1665.1</v>
      </c>
      <c r="S87" s="113">
        <f t="shared" si="23"/>
        <v>0</v>
      </c>
      <c r="T87" s="113">
        <f t="shared" si="23"/>
        <v>1768.4</v>
      </c>
      <c r="U87" s="113">
        <f t="shared" si="23"/>
        <v>1768.4</v>
      </c>
      <c r="V87" s="113">
        <f t="shared" si="23"/>
        <v>0</v>
      </c>
      <c r="W87" s="276"/>
      <c r="X87" s="276"/>
      <c r="Y87" s="343"/>
      <c r="Z87" s="343"/>
      <c r="AA87" s="343"/>
      <c r="AB87" s="343"/>
      <c r="AC87" s="343"/>
      <c r="AD87" s="343"/>
      <c r="AE87" s="343"/>
      <c r="AF87" s="343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341"/>
      <c r="BT87" s="4"/>
      <c r="BU87" s="4"/>
      <c r="BV87" s="4"/>
      <c r="BW87" s="4"/>
      <c r="BX87" s="279"/>
      <c r="BY87" s="280"/>
      <c r="BZ87" s="281"/>
      <c r="CA87" s="280"/>
      <c r="CB87" s="281"/>
      <c r="CC87" s="3"/>
      <c r="CD87" s="3"/>
      <c r="CE87" s="3"/>
      <c r="CF87" s="3"/>
      <c r="CG87" s="3"/>
      <c r="CH87" s="3"/>
      <c r="CI87" s="3"/>
      <c r="CJ87" s="3"/>
      <c r="CK87" s="3"/>
      <c r="CL87" s="3"/>
    </row>
    <row r="88" spans="1:90" ht="29.25" customHeight="1">
      <c r="A88" s="101" t="s">
        <v>81</v>
      </c>
      <c r="B88" s="373" t="s">
        <v>194</v>
      </c>
      <c r="C88" s="373"/>
      <c r="D88" s="373"/>
      <c r="E88" s="373"/>
      <c r="F88" s="373"/>
      <c r="G88" s="373"/>
      <c r="H88" s="373"/>
      <c r="I88" s="373"/>
      <c r="J88" s="216"/>
      <c r="K88" s="216"/>
      <c r="L88" s="128">
        <f aca="true" t="shared" si="24" ref="L88:V88">SUM(L89+L91)</f>
        <v>1573.9</v>
      </c>
      <c r="M88" s="128">
        <f t="shared" si="24"/>
        <v>0</v>
      </c>
      <c r="N88" s="128">
        <f t="shared" si="24"/>
        <v>1565</v>
      </c>
      <c r="O88" s="128">
        <f t="shared" si="24"/>
        <v>1565</v>
      </c>
      <c r="P88" s="128">
        <f t="shared" si="24"/>
        <v>0</v>
      </c>
      <c r="Q88" s="128">
        <f t="shared" si="24"/>
        <v>1665.1</v>
      </c>
      <c r="R88" s="128">
        <f t="shared" si="24"/>
        <v>1665.1</v>
      </c>
      <c r="S88" s="128">
        <f t="shared" si="24"/>
        <v>0</v>
      </c>
      <c r="T88" s="128">
        <f t="shared" si="24"/>
        <v>1768.4</v>
      </c>
      <c r="U88" s="128">
        <f t="shared" si="24"/>
        <v>1768.4</v>
      </c>
      <c r="V88" s="128">
        <f t="shared" si="24"/>
        <v>0</v>
      </c>
      <c r="W88" s="4"/>
      <c r="X88" s="4"/>
      <c r="Y88" s="4"/>
      <c r="Z88" s="4"/>
      <c r="AA88" s="4"/>
      <c r="AB88" s="4"/>
      <c r="AC88" s="4"/>
      <c r="AD88" s="4"/>
      <c r="AE88" s="4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341"/>
      <c r="BT88" s="4"/>
      <c r="BU88" s="4"/>
      <c r="BV88" s="4"/>
      <c r="BW88" s="4"/>
      <c r="BX88" s="279"/>
      <c r="BY88" s="280"/>
      <c r="BZ88" s="281"/>
      <c r="CA88" s="280"/>
      <c r="CB88" s="281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1:90" ht="21" customHeight="1">
      <c r="A89" s="263" t="s">
        <v>195</v>
      </c>
      <c r="B89" s="263"/>
      <c r="C89" s="263"/>
      <c r="D89" s="263"/>
      <c r="E89" s="263"/>
      <c r="F89" s="263"/>
      <c r="G89" s="263"/>
      <c r="H89" s="263"/>
      <c r="I89" s="263"/>
      <c r="J89" s="221"/>
      <c r="K89" s="221"/>
      <c r="L89" s="129">
        <f aca="true" t="shared" si="25" ref="L89:V89">SUM(L90:L90)</f>
        <v>285</v>
      </c>
      <c r="M89" s="129">
        <f t="shared" si="25"/>
        <v>0</v>
      </c>
      <c r="N89" s="129">
        <f t="shared" si="25"/>
        <v>185</v>
      </c>
      <c r="O89" s="129">
        <f t="shared" si="25"/>
        <v>185</v>
      </c>
      <c r="P89" s="129">
        <f t="shared" si="25"/>
        <v>0</v>
      </c>
      <c r="Q89" s="129">
        <f t="shared" si="25"/>
        <v>196.8</v>
      </c>
      <c r="R89" s="129">
        <f t="shared" si="25"/>
        <v>196.8</v>
      </c>
      <c r="S89" s="129">
        <f t="shared" si="25"/>
        <v>0</v>
      </c>
      <c r="T89" s="129">
        <f t="shared" si="25"/>
        <v>209</v>
      </c>
      <c r="U89" s="129">
        <f t="shared" si="25"/>
        <v>209</v>
      </c>
      <c r="V89" s="129">
        <f t="shared" si="25"/>
        <v>0</v>
      </c>
      <c r="W89" s="4"/>
      <c r="X89" s="4"/>
      <c r="Y89" s="4"/>
      <c r="Z89" s="4"/>
      <c r="AA89" s="4"/>
      <c r="AB89" s="4"/>
      <c r="AC89" s="4"/>
      <c r="AD89" s="4"/>
      <c r="AE89" s="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  <c r="BQ89" s="344"/>
      <c r="BR89" s="10"/>
      <c r="BS89" s="344"/>
      <c r="BT89" s="344"/>
      <c r="BU89" s="344"/>
      <c r="BV89" s="344"/>
      <c r="BW89" s="344"/>
      <c r="BX89" s="344"/>
      <c r="BY89" s="280"/>
      <c r="BZ89" s="281"/>
      <c r="CA89" s="280"/>
      <c r="CB89" s="345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:90" ht="192.75" customHeight="1">
      <c r="A90" s="74"/>
      <c r="B90" s="142" t="s">
        <v>94</v>
      </c>
      <c r="C90" s="74"/>
      <c r="D90" s="74"/>
      <c r="E90" s="76" t="s">
        <v>579</v>
      </c>
      <c r="F90" s="76" t="s">
        <v>580</v>
      </c>
      <c r="G90" s="76" t="s">
        <v>578</v>
      </c>
      <c r="H90" s="77" t="s">
        <v>581</v>
      </c>
      <c r="I90" s="78" t="s">
        <v>427</v>
      </c>
      <c r="J90" s="209" t="s">
        <v>429</v>
      </c>
      <c r="K90" s="209" t="s">
        <v>428</v>
      </c>
      <c r="L90" s="126">
        <f>SUM(235+50)</f>
        <v>285</v>
      </c>
      <c r="M90" s="126"/>
      <c r="N90" s="126">
        <v>185</v>
      </c>
      <c r="O90" s="126">
        <v>185</v>
      </c>
      <c r="P90" s="126"/>
      <c r="Q90" s="126">
        <v>196.8</v>
      </c>
      <c r="R90" s="126">
        <v>196.8</v>
      </c>
      <c r="S90" s="126"/>
      <c r="T90" s="126">
        <v>209</v>
      </c>
      <c r="U90" s="126">
        <v>209</v>
      </c>
      <c r="V90" s="126"/>
      <c r="W90" s="4"/>
      <c r="X90" s="4"/>
      <c r="Y90" s="4"/>
      <c r="Z90" s="4"/>
      <c r="AA90" s="4"/>
      <c r="AB90" s="4"/>
      <c r="AC90" s="4"/>
      <c r="AD90" s="4"/>
      <c r="AE90" s="4"/>
      <c r="AF90" s="346"/>
      <c r="AG90" s="346"/>
      <c r="AH90" s="346"/>
      <c r="AI90" s="346"/>
      <c r="AJ90" s="346"/>
      <c r="AK90" s="346"/>
      <c r="AL90" s="346"/>
      <c r="AM90" s="346"/>
      <c r="AN90" s="346"/>
      <c r="AO90" s="346"/>
      <c r="AP90" s="346"/>
      <c r="AQ90" s="346"/>
      <c r="AR90" s="346"/>
      <c r="AS90" s="346"/>
      <c r="AT90" s="346"/>
      <c r="AU90" s="346"/>
      <c r="AV90" s="346"/>
      <c r="AW90" s="346"/>
      <c r="AX90" s="346"/>
      <c r="AY90" s="346"/>
      <c r="AZ90" s="346"/>
      <c r="BA90" s="346"/>
      <c r="BB90" s="346"/>
      <c r="BC90" s="346"/>
      <c r="BD90" s="346"/>
      <c r="BE90" s="346"/>
      <c r="BF90" s="346"/>
      <c r="BG90" s="346"/>
      <c r="BH90" s="346"/>
      <c r="BI90" s="346"/>
      <c r="BJ90" s="346"/>
      <c r="BK90" s="346"/>
      <c r="BL90" s="346"/>
      <c r="BM90" s="346"/>
      <c r="BN90" s="346"/>
      <c r="BO90" s="346"/>
      <c r="BP90" s="346"/>
      <c r="BQ90" s="346"/>
      <c r="BR90" s="346"/>
      <c r="BS90" s="346"/>
      <c r="BT90" s="346"/>
      <c r="BU90" s="346"/>
      <c r="BV90" s="346"/>
      <c r="BW90" s="346"/>
      <c r="BX90" s="346"/>
      <c r="BY90" s="346"/>
      <c r="BZ90" s="346"/>
      <c r="CA90" s="346"/>
      <c r="CB90" s="346"/>
      <c r="CC90" s="13"/>
      <c r="CD90" s="13"/>
      <c r="CE90" s="13"/>
      <c r="CF90" s="13"/>
      <c r="CG90" s="13"/>
      <c r="CH90" s="13"/>
      <c r="CI90" s="13"/>
      <c r="CJ90" s="13"/>
      <c r="CK90" s="13"/>
      <c r="CL90" s="13"/>
    </row>
    <row r="91" spans="1:90" ht="39" customHeight="1">
      <c r="A91" s="101" t="s">
        <v>223</v>
      </c>
      <c r="B91" s="373" t="s">
        <v>224</v>
      </c>
      <c r="C91" s="373"/>
      <c r="D91" s="373"/>
      <c r="E91" s="373"/>
      <c r="F91" s="373"/>
      <c r="G91" s="373"/>
      <c r="H91" s="373"/>
      <c r="I91" s="373"/>
      <c r="J91" s="216"/>
      <c r="K91" s="216"/>
      <c r="L91" s="114">
        <f>SUM(L93)</f>
        <v>1288.9</v>
      </c>
      <c r="M91" s="114">
        <f aca="true" t="shared" si="26" ref="M91:V91">SUM(M93)</f>
        <v>0</v>
      </c>
      <c r="N91" s="114">
        <f t="shared" si="26"/>
        <v>1380</v>
      </c>
      <c r="O91" s="114">
        <f t="shared" si="26"/>
        <v>1380</v>
      </c>
      <c r="P91" s="114">
        <f t="shared" si="26"/>
        <v>0</v>
      </c>
      <c r="Q91" s="114">
        <f t="shared" si="26"/>
        <v>1468.3</v>
      </c>
      <c r="R91" s="114">
        <f t="shared" si="26"/>
        <v>1468.3</v>
      </c>
      <c r="S91" s="114">
        <f t="shared" si="26"/>
        <v>0</v>
      </c>
      <c r="T91" s="114">
        <f t="shared" si="26"/>
        <v>1559.4</v>
      </c>
      <c r="U91" s="114">
        <f t="shared" si="26"/>
        <v>1559.4</v>
      </c>
      <c r="V91" s="114">
        <f t="shared" si="26"/>
        <v>0</v>
      </c>
      <c r="W91" s="4"/>
      <c r="X91" s="4"/>
      <c r="Y91" s="4"/>
      <c r="Z91" s="4"/>
      <c r="AA91" s="4"/>
      <c r="AB91" s="4"/>
      <c r="AC91" s="4"/>
      <c r="AD91" s="4"/>
      <c r="AE91" s="4"/>
      <c r="AF91" s="346"/>
      <c r="AG91" s="346"/>
      <c r="AH91" s="346"/>
      <c r="AI91" s="346"/>
      <c r="AJ91" s="346"/>
      <c r="AK91" s="346"/>
      <c r="AL91" s="346"/>
      <c r="AM91" s="346"/>
      <c r="AN91" s="346"/>
      <c r="AO91" s="346"/>
      <c r="AP91" s="346"/>
      <c r="AQ91" s="346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346"/>
      <c r="BC91" s="346"/>
      <c r="BD91" s="346"/>
      <c r="BE91" s="346"/>
      <c r="BF91" s="346"/>
      <c r="BG91" s="346"/>
      <c r="BH91" s="346"/>
      <c r="BI91" s="346"/>
      <c r="BJ91" s="346"/>
      <c r="BK91" s="346"/>
      <c r="BL91" s="346"/>
      <c r="BM91" s="346"/>
      <c r="BN91" s="346"/>
      <c r="BO91" s="346"/>
      <c r="BP91" s="346"/>
      <c r="BQ91" s="346"/>
      <c r="BR91" s="346"/>
      <c r="BS91" s="346"/>
      <c r="BT91" s="346"/>
      <c r="BU91" s="346"/>
      <c r="BV91" s="346"/>
      <c r="BW91" s="346"/>
      <c r="BX91" s="346"/>
      <c r="BY91" s="346"/>
      <c r="BZ91" s="346"/>
      <c r="CA91" s="346"/>
      <c r="CB91" s="346"/>
      <c r="CC91" s="13"/>
      <c r="CD91" s="13"/>
      <c r="CE91" s="13"/>
      <c r="CF91" s="13"/>
      <c r="CG91" s="13"/>
      <c r="CH91" s="13"/>
      <c r="CI91" s="13"/>
      <c r="CJ91" s="13"/>
      <c r="CK91" s="13"/>
      <c r="CL91" s="13"/>
    </row>
    <row r="92" spans="1:90" ht="12.75">
      <c r="A92" s="101"/>
      <c r="B92" s="147"/>
      <c r="C92" s="147"/>
      <c r="D92" s="147"/>
      <c r="E92" s="67"/>
      <c r="F92" s="67"/>
      <c r="G92" s="67"/>
      <c r="H92" s="67"/>
      <c r="I92" s="102"/>
      <c r="J92" s="216"/>
      <c r="K92" s="216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4"/>
      <c r="X92" s="4"/>
      <c r="Y92" s="4"/>
      <c r="Z92" s="4"/>
      <c r="AA92" s="4"/>
      <c r="AB92" s="4"/>
      <c r="AC92" s="4"/>
      <c r="AD92" s="4"/>
      <c r="AE92" s="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44"/>
      <c r="BZ92" s="344"/>
      <c r="CA92" s="344"/>
      <c r="CB92" s="344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1:90" ht="33" customHeight="1">
      <c r="A93" s="263" t="s">
        <v>224</v>
      </c>
      <c r="B93" s="263"/>
      <c r="C93" s="263"/>
      <c r="D93" s="263"/>
      <c r="E93" s="263"/>
      <c r="F93" s="263"/>
      <c r="G93" s="263"/>
      <c r="H93" s="263"/>
      <c r="I93" s="263"/>
      <c r="J93" s="221"/>
      <c r="K93" s="221"/>
      <c r="L93" s="148">
        <f aca="true" t="shared" si="27" ref="L93:V93">SUM(L94)</f>
        <v>1288.9</v>
      </c>
      <c r="M93" s="148">
        <f t="shared" si="27"/>
        <v>0</v>
      </c>
      <c r="N93" s="148">
        <f>SUM(N94)</f>
        <v>1380</v>
      </c>
      <c r="O93" s="148">
        <f t="shared" si="27"/>
        <v>1380</v>
      </c>
      <c r="P93" s="148">
        <f t="shared" si="27"/>
        <v>0</v>
      </c>
      <c r="Q93" s="148">
        <f t="shared" si="27"/>
        <v>1468.3</v>
      </c>
      <c r="R93" s="148">
        <f t="shared" si="27"/>
        <v>1468.3</v>
      </c>
      <c r="S93" s="148">
        <f t="shared" si="27"/>
        <v>0</v>
      </c>
      <c r="T93" s="148">
        <f t="shared" si="27"/>
        <v>1559.4</v>
      </c>
      <c r="U93" s="148">
        <f t="shared" si="27"/>
        <v>1559.4</v>
      </c>
      <c r="V93" s="148">
        <f t="shared" si="27"/>
        <v>0</v>
      </c>
      <c r="W93" s="4"/>
      <c r="X93" s="4"/>
      <c r="Y93" s="4"/>
      <c r="Z93" s="4"/>
      <c r="AA93" s="4"/>
      <c r="AB93" s="4"/>
      <c r="AC93" s="4"/>
      <c r="AD93" s="4"/>
      <c r="AE93" s="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:90" ht="281.25" customHeight="1">
      <c r="A94" s="74" t="s">
        <v>84</v>
      </c>
      <c r="B94" s="94" t="s">
        <v>225</v>
      </c>
      <c r="C94" s="74"/>
      <c r="D94" s="74"/>
      <c r="E94" s="77" t="s">
        <v>582</v>
      </c>
      <c r="F94" s="77" t="s">
        <v>340</v>
      </c>
      <c r="G94" s="77" t="s">
        <v>583</v>
      </c>
      <c r="H94" s="77" t="s">
        <v>331</v>
      </c>
      <c r="I94" s="149" t="s">
        <v>452</v>
      </c>
      <c r="J94" s="223" t="s">
        <v>453</v>
      </c>
      <c r="K94" s="223" t="s">
        <v>454</v>
      </c>
      <c r="L94" s="126">
        <v>1288.9</v>
      </c>
      <c r="M94" s="126"/>
      <c r="N94" s="126">
        <v>1380</v>
      </c>
      <c r="O94" s="126">
        <v>1380</v>
      </c>
      <c r="P94" s="126"/>
      <c r="Q94" s="126">
        <v>1468.3</v>
      </c>
      <c r="R94" s="126">
        <v>1468.3</v>
      </c>
      <c r="S94" s="126"/>
      <c r="T94" s="126">
        <v>1559.4</v>
      </c>
      <c r="U94" s="126">
        <v>1559.4</v>
      </c>
      <c r="V94" s="126"/>
      <c r="W94" s="4"/>
      <c r="X94" s="4"/>
      <c r="Y94" s="4"/>
      <c r="Z94" s="4"/>
      <c r="AA94" s="4"/>
      <c r="AB94" s="4"/>
      <c r="AC94" s="4"/>
      <c r="AD94" s="4"/>
      <c r="AE94" s="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:90" ht="12.75">
      <c r="A95" s="165" t="s">
        <v>226</v>
      </c>
      <c r="B95" s="260" t="s">
        <v>227</v>
      </c>
      <c r="C95" s="260"/>
      <c r="D95" s="260"/>
      <c r="E95" s="260"/>
      <c r="F95" s="260"/>
      <c r="G95" s="260"/>
      <c r="H95" s="260"/>
      <c r="I95" s="260"/>
      <c r="J95" s="260"/>
      <c r="K95" s="220"/>
      <c r="L95" s="151">
        <f aca="true" t="shared" si="28" ref="L95:V95">SUM(L96)</f>
        <v>3353.3</v>
      </c>
      <c r="M95" s="151">
        <f t="shared" si="28"/>
        <v>0</v>
      </c>
      <c r="N95" s="151">
        <f t="shared" si="28"/>
        <v>3362.3</v>
      </c>
      <c r="O95" s="151">
        <f t="shared" si="28"/>
        <v>3362.3</v>
      </c>
      <c r="P95" s="151">
        <f t="shared" si="28"/>
        <v>0</v>
      </c>
      <c r="Q95" s="151">
        <f t="shared" si="28"/>
        <v>3408.2000000000003</v>
      </c>
      <c r="R95" s="151">
        <f t="shared" si="28"/>
        <v>3408.2000000000003</v>
      </c>
      <c r="S95" s="151">
        <f t="shared" si="28"/>
        <v>0</v>
      </c>
      <c r="T95" s="151">
        <f t="shared" si="28"/>
        <v>3455.4</v>
      </c>
      <c r="U95" s="151">
        <f t="shared" si="28"/>
        <v>3455.4</v>
      </c>
      <c r="V95" s="151">
        <f t="shared" si="28"/>
        <v>0</v>
      </c>
      <c r="W95" s="347"/>
      <c r="X95" s="347"/>
      <c r="Y95" s="347"/>
      <c r="Z95" s="347"/>
      <c r="AA95" s="347"/>
      <c r="AB95" s="347"/>
      <c r="AC95" s="347"/>
      <c r="AD95" s="347"/>
      <c r="AE95" s="347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  <c r="BQ95" s="344"/>
      <c r="BR95" s="344"/>
      <c r="BS95" s="344"/>
      <c r="BT95" s="344"/>
      <c r="BU95" s="344"/>
      <c r="BV95" s="344"/>
      <c r="BW95" s="344"/>
      <c r="BX95" s="344"/>
      <c r="BY95" s="344"/>
      <c r="BZ95" s="344"/>
      <c r="CA95" s="344"/>
      <c r="CB95" s="344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:90" ht="31.5" customHeight="1">
      <c r="A96" s="67" t="s">
        <v>81</v>
      </c>
      <c r="B96" s="362" t="s">
        <v>82</v>
      </c>
      <c r="C96" s="362"/>
      <c r="D96" s="362"/>
      <c r="E96" s="67"/>
      <c r="F96" s="67"/>
      <c r="G96" s="67"/>
      <c r="H96" s="67"/>
      <c r="I96" s="68"/>
      <c r="J96" s="207"/>
      <c r="K96" s="207"/>
      <c r="L96" s="69">
        <f>SUM(L97)</f>
        <v>3353.3</v>
      </c>
      <c r="M96" s="69">
        <f aca="true" t="shared" si="29" ref="M96:V96">SUM(M97)</f>
        <v>0</v>
      </c>
      <c r="N96" s="69">
        <f>SUM(N97)</f>
        <v>3362.3</v>
      </c>
      <c r="O96" s="69">
        <f t="shared" si="29"/>
        <v>3362.3</v>
      </c>
      <c r="P96" s="69">
        <f t="shared" si="29"/>
        <v>0</v>
      </c>
      <c r="Q96" s="69">
        <f t="shared" si="29"/>
        <v>3408.2000000000003</v>
      </c>
      <c r="R96" s="69">
        <f t="shared" si="29"/>
        <v>3408.2000000000003</v>
      </c>
      <c r="S96" s="69">
        <f t="shared" si="29"/>
        <v>0</v>
      </c>
      <c r="T96" s="69">
        <f t="shared" si="29"/>
        <v>3455.4</v>
      </c>
      <c r="U96" s="69">
        <f t="shared" si="29"/>
        <v>3455.4</v>
      </c>
      <c r="V96" s="69">
        <f t="shared" si="29"/>
        <v>0</v>
      </c>
      <c r="W96" s="4"/>
      <c r="X96" s="4"/>
      <c r="Y96" s="4"/>
      <c r="Z96" s="4"/>
      <c r="AA96" s="4"/>
      <c r="AB96" s="4"/>
      <c r="AC96" s="4"/>
      <c r="AD96" s="4"/>
      <c r="AE96" s="4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348"/>
      <c r="BE96" s="348"/>
      <c r="BF96" s="348"/>
      <c r="BG96" s="348"/>
      <c r="BH96" s="348"/>
      <c r="BI96" s="348"/>
      <c r="BJ96" s="348"/>
      <c r="BK96" s="348"/>
      <c r="BL96" s="348"/>
      <c r="BM96" s="348"/>
      <c r="BN96" s="348"/>
      <c r="BO96" s="348"/>
      <c r="BP96" s="348"/>
      <c r="BQ96" s="348"/>
      <c r="BR96" s="348"/>
      <c r="BS96" s="348"/>
      <c r="BT96" s="348"/>
      <c r="BU96" s="348"/>
      <c r="BV96" s="348"/>
      <c r="BW96" s="348"/>
      <c r="BX96" s="348"/>
      <c r="BY96" s="348"/>
      <c r="BZ96" s="348"/>
      <c r="CA96" s="348"/>
      <c r="CB96" s="348"/>
      <c r="CC96" s="3"/>
      <c r="CD96" s="3"/>
      <c r="CE96" s="3"/>
      <c r="CF96" s="3"/>
      <c r="CG96" s="3"/>
      <c r="CH96" s="3"/>
      <c r="CI96" s="3"/>
      <c r="CJ96" s="3"/>
      <c r="CK96" s="3"/>
      <c r="CL96" s="3"/>
    </row>
    <row r="97" spans="1:90" ht="12.75">
      <c r="A97" s="363" t="s">
        <v>83</v>
      </c>
      <c r="B97" s="363"/>
      <c r="C97" s="363"/>
      <c r="D97" s="363"/>
      <c r="E97" s="70"/>
      <c r="F97" s="70"/>
      <c r="G97" s="70"/>
      <c r="H97" s="70"/>
      <c r="I97" s="71"/>
      <c r="J97" s="208"/>
      <c r="K97" s="208"/>
      <c r="L97" s="72">
        <f>SUM(L98:L100)</f>
        <v>3353.3</v>
      </c>
      <c r="M97" s="72">
        <f aca="true" t="shared" si="30" ref="M97:V97">SUM(M98:M100)</f>
        <v>0</v>
      </c>
      <c r="N97" s="72">
        <f>SUM(N98:N100)</f>
        <v>3362.3</v>
      </c>
      <c r="O97" s="72">
        <f t="shared" si="30"/>
        <v>3362.3</v>
      </c>
      <c r="P97" s="72">
        <f t="shared" si="30"/>
        <v>0</v>
      </c>
      <c r="Q97" s="72">
        <f>SUM(Q98)+Q99+Q100</f>
        <v>3408.2000000000003</v>
      </c>
      <c r="R97" s="72">
        <f t="shared" si="30"/>
        <v>3408.2000000000003</v>
      </c>
      <c r="S97" s="72">
        <f t="shared" si="30"/>
        <v>0</v>
      </c>
      <c r="T97" s="72">
        <f t="shared" si="30"/>
        <v>3455.4</v>
      </c>
      <c r="U97" s="72">
        <f t="shared" si="30"/>
        <v>3455.4</v>
      </c>
      <c r="V97" s="72">
        <f t="shared" si="30"/>
        <v>0</v>
      </c>
      <c r="W97" s="4"/>
      <c r="X97" s="4"/>
      <c r="Y97" s="4"/>
      <c r="Z97" s="4"/>
      <c r="AA97" s="4"/>
      <c r="AB97" s="4"/>
      <c r="AC97" s="4"/>
      <c r="AD97" s="4"/>
      <c r="AE97" s="4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348"/>
      <c r="AV97" s="348"/>
      <c r="AW97" s="348"/>
      <c r="AX97" s="348"/>
      <c r="AY97" s="348"/>
      <c r="AZ97" s="348"/>
      <c r="BA97" s="348"/>
      <c r="BB97" s="348"/>
      <c r="BC97" s="348"/>
      <c r="BD97" s="348"/>
      <c r="BE97" s="348"/>
      <c r="BF97" s="348"/>
      <c r="BG97" s="348"/>
      <c r="BH97" s="348"/>
      <c r="BI97" s="348"/>
      <c r="BJ97" s="348"/>
      <c r="BK97" s="348"/>
      <c r="BL97" s="348"/>
      <c r="BM97" s="348"/>
      <c r="BN97" s="348"/>
      <c r="BO97" s="348"/>
      <c r="BP97" s="348"/>
      <c r="BQ97" s="348"/>
      <c r="BR97" s="348"/>
      <c r="BS97" s="348"/>
      <c r="BT97" s="348"/>
      <c r="BU97" s="348"/>
      <c r="BV97" s="348"/>
      <c r="BW97" s="348"/>
      <c r="BX97" s="348"/>
      <c r="BY97" s="348"/>
      <c r="BZ97" s="348"/>
      <c r="CA97" s="348"/>
      <c r="CB97" s="348"/>
      <c r="CC97" s="3"/>
      <c r="CD97" s="3"/>
      <c r="CE97" s="3"/>
      <c r="CF97" s="3"/>
      <c r="CG97" s="3"/>
      <c r="CH97" s="3"/>
      <c r="CI97" s="3"/>
      <c r="CJ97" s="3"/>
      <c r="CK97" s="3"/>
      <c r="CL97" s="3"/>
    </row>
    <row r="98" spans="1:90" ht="281.25">
      <c r="A98" s="73" t="s">
        <v>84</v>
      </c>
      <c r="B98" s="74" t="s">
        <v>85</v>
      </c>
      <c r="C98" s="75" t="s">
        <v>86</v>
      </c>
      <c r="D98" s="74"/>
      <c r="E98" s="76" t="s">
        <v>457</v>
      </c>
      <c r="F98" s="76" t="s">
        <v>458</v>
      </c>
      <c r="G98" s="76" t="s">
        <v>456</v>
      </c>
      <c r="H98" s="77" t="s">
        <v>459</v>
      </c>
      <c r="I98" s="78" t="s">
        <v>407</v>
      </c>
      <c r="J98" s="209" t="s">
        <v>471</v>
      </c>
      <c r="K98" s="209" t="s">
        <v>408</v>
      </c>
      <c r="L98" s="79">
        <f>SUM(1034.8+21.6+1560.6+43.2)</f>
        <v>2660.2</v>
      </c>
      <c r="M98" s="79"/>
      <c r="N98" s="79">
        <f>SUM(1057.7+1543.6)</f>
        <v>2601.3</v>
      </c>
      <c r="O98" s="79">
        <f>SUM(1057.7+1543.6)</f>
        <v>2601.3</v>
      </c>
      <c r="P98" s="79"/>
      <c r="Q98" s="79">
        <f>SUM(1057.7+1543.6)</f>
        <v>2601.3</v>
      </c>
      <c r="R98" s="79">
        <f>SUM(1057.7+1543.6)</f>
        <v>2601.3</v>
      </c>
      <c r="S98" s="79"/>
      <c r="T98" s="79">
        <f>SUM(1057.7+1543.6)</f>
        <v>2601.3</v>
      </c>
      <c r="U98" s="79">
        <f>SUM(1057.7+1543.6)</f>
        <v>2601.3</v>
      </c>
      <c r="V98" s="79"/>
      <c r="W98" s="4"/>
      <c r="X98" s="4"/>
      <c r="Y98" s="4"/>
      <c r="Z98" s="4"/>
      <c r="AA98" s="4"/>
      <c r="AB98" s="4"/>
      <c r="AC98" s="4"/>
      <c r="AD98" s="4"/>
      <c r="AE98" s="4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8"/>
      <c r="BG98" s="348"/>
      <c r="BH98" s="348"/>
      <c r="BI98" s="348"/>
      <c r="BJ98" s="348"/>
      <c r="BK98" s="348"/>
      <c r="BL98" s="348"/>
      <c r="BM98" s="348"/>
      <c r="BN98" s="348"/>
      <c r="BO98" s="348"/>
      <c r="BP98" s="348"/>
      <c r="BQ98" s="348"/>
      <c r="BR98" s="348"/>
      <c r="BS98" s="348"/>
      <c r="BT98" s="348"/>
      <c r="BU98" s="348"/>
      <c r="BV98" s="348"/>
      <c r="BW98" s="348"/>
      <c r="BX98" s="348"/>
      <c r="BY98" s="348"/>
      <c r="BZ98" s="348"/>
      <c r="CA98" s="348"/>
      <c r="CB98" s="348"/>
      <c r="CC98" s="3"/>
      <c r="CD98" s="3"/>
      <c r="CE98" s="3"/>
      <c r="CF98" s="3"/>
      <c r="CG98" s="3"/>
      <c r="CH98" s="3"/>
      <c r="CI98" s="3"/>
      <c r="CJ98" s="3"/>
      <c r="CK98" s="3"/>
      <c r="CL98" s="3"/>
    </row>
    <row r="99" spans="1:90" ht="80.25" customHeight="1">
      <c r="A99" s="22" t="s">
        <v>90</v>
      </c>
      <c r="B99" s="74" t="s">
        <v>91</v>
      </c>
      <c r="C99" s="75" t="s">
        <v>86</v>
      </c>
      <c r="D99" s="74"/>
      <c r="E99" s="76" t="s">
        <v>2</v>
      </c>
      <c r="F99" s="76" t="s">
        <v>4</v>
      </c>
      <c r="G99" s="76" t="s">
        <v>29</v>
      </c>
      <c r="H99" s="77" t="s">
        <v>228</v>
      </c>
      <c r="I99" s="78" t="s">
        <v>92</v>
      </c>
      <c r="J99" s="209" t="s">
        <v>455</v>
      </c>
      <c r="K99" s="209" t="s">
        <v>93</v>
      </c>
      <c r="L99" s="79">
        <f>SUM(471.3)</f>
        <v>471.3</v>
      </c>
      <c r="M99" s="79"/>
      <c r="N99" s="79">
        <f>SUM(579.2)</f>
        <v>579.2</v>
      </c>
      <c r="O99" s="79">
        <f>SUM(579.2)</f>
        <v>579.2</v>
      </c>
      <c r="P99" s="79"/>
      <c r="Q99" s="79">
        <f>SUM(616.3)</f>
        <v>616.3</v>
      </c>
      <c r="R99" s="79">
        <f>SUM(616.3)</f>
        <v>616.3</v>
      </c>
      <c r="S99" s="79"/>
      <c r="T99" s="79">
        <f>SUM(654.5)</f>
        <v>654.5</v>
      </c>
      <c r="U99" s="79">
        <f>SUM(654.5)</f>
        <v>654.5</v>
      </c>
      <c r="V99" s="79"/>
      <c r="W99" s="4"/>
      <c r="X99" s="4"/>
      <c r="Y99" s="4"/>
      <c r="Z99" s="4"/>
      <c r="AA99" s="4"/>
      <c r="AB99" s="4"/>
      <c r="AC99" s="4"/>
      <c r="AD99" s="4"/>
      <c r="AE99" s="4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48"/>
      <c r="BE99" s="348"/>
      <c r="BF99" s="348"/>
      <c r="BG99" s="348"/>
      <c r="BH99" s="348"/>
      <c r="BI99" s="348"/>
      <c r="BJ99" s="348"/>
      <c r="BK99" s="348"/>
      <c r="BL99" s="348"/>
      <c r="BM99" s="348"/>
      <c r="BN99" s="348"/>
      <c r="BO99" s="348"/>
      <c r="BP99" s="348"/>
      <c r="BQ99" s="348"/>
      <c r="BR99" s="348"/>
      <c r="BS99" s="348"/>
      <c r="BT99" s="348"/>
      <c r="BU99" s="348"/>
      <c r="BV99" s="348"/>
      <c r="BW99" s="348"/>
      <c r="BX99" s="348"/>
      <c r="BY99" s="348"/>
      <c r="BZ99" s="348"/>
      <c r="CA99" s="348"/>
      <c r="CB99" s="348"/>
      <c r="CC99" s="3"/>
      <c r="CD99" s="3"/>
      <c r="CE99" s="3"/>
      <c r="CF99" s="3"/>
      <c r="CG99" s="3"/>
      <c r="CH99" s="3"/>
      <c r="CI99" s="3"/>
      <c r="CJ99" s="3"/>
      <c r="CK99" s="3"/>
      <c r="CL99" s="3"/>
    </row>
    <row r="100" spans="1:90" ht="396.75" customHeight="1">
      <c r="A100" s="73">
        <v>1.3</v>
      </c>
      <c r="B100" s="78" t="s">
        <v>94</v>
      </c>
      <c r="C100" s="75" t="s">
        <v>86</v>
      </c>
      <c r="D100" s="74"/>
      <c r="E100" s="76" t="s">
        <v>229</v>
      </c>
      <c r="F100" s="76" t="s">
        <v>230</v>
      </c>
      <c r="G100" s="76" t="s">
        <v>460</v>
      </c>
      <c r="H100" s="77" t="s">
        <v>461</v>
      </c>
      <c r="I100" s="80" t="s">
        <v>99</v>
      </c>
      <c r="J100" s="209" t="s">
        <v>462</v>
      </c>
      <c r="K100" s="209" t="s">
        <v>101</v>
      </c>
      <c r="L100" s="79">
        <f>SUM(0.7+130+91.1)</f>
        <v>221.79999999999998</v>
      </c>
      <c r="M100" s="79"/>
      <c r="N100" s="79">
        <f>SUM(0.8+136+45)</f>
        <v>181.8</v>
      </c>
      <c r="O100" s="79">
        <f>SUM(0.8+136+45)</f>
        <v>181.8</v>
      </c>
      <c r="P100" s="79"/>
      <c r="Q100" s="79">
        <f>SUM(0.9+144.7+45)</f>
        <v>190.6</v>
      </c>
      <c r="R100" s="79">
        <f>SUM(0.9+144.7+45)</f>
        <v>190.6</v>
      </c>
      <c r="S100" s="79"/>
      <c r="T100" s="79">
        <f>SUM(0.9+153.7+45)</f>
        <v>199.6</v>
      </c>
      <c r="U100" s="79">
        <f>SUM(0.9+153.7+45)</f>
        <v>199.6</v>
      </c>
      <c r="V100" s="79"/>
      <c r="W100" s="4"/>
      <c r="X100" s="4"/>
      <c r="Y100" s="4"/>
      <c r="Z100" s="4"/>
      <c r="AA100" s="4"/>
      <c r="AB100" s="4"/>
      <c r="AC100" s="4"/>
      <c r="AD100" s="4"/>
      <c r="AE100" s="4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8"/>
      <c r="BC100" s="348"/>
      <c r="BD100" s="348"/>
      <c r="BE100" s="348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 s="348"/>
      <c r="BP100" s="348"/>
      <c r="BQ100" s="348"/>
      <c r="BR100" s="348"/>
      <c r="BS100" s="348"/>
      <c r="BT100" s="348"/>
      <c r="BU100" s="348"/>
      <c r="BV100" s="348"/>
      <c r="BW100" s="348"/>
      <c r="BX100" s="348"/>
      <c r="BY100" s="348"/>
      <c r="BZ100" s="348"/>
      <c r="CA100" s="348"/>
      <c r="CB100" s="348"/>
      <c r="CC100" s="3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1:90" ht="12.75">
      <c r="A101" s="165" t="s">
        <v>231</v>
      </c>
      <c r="B101" s="260" t="s">
        <v>16</v>
      </c>
      <c r="C101" s="260"/>
      <c r="D101" s="260"/>
      <c r="E101" s="260"/>
      <c r="F101" s="260"/>
      <c r="G101" s="260"/>
      <c r="H101" s="260"/>
      <c r="I101" s="260"/>
      <c r="J101" s="260"/>
      <c r="K101" s="220"/>
      <c r="L101" s="152">
        <f>SUM(L102)+L111+L117</f>
        <v>76172.2</v>
      </c>
      <c r="M101" s="152">
        <f aca="true" t="shared" si="31" ref="M101:V101">SUM(M102)+M111+M117</f>
        <v>0</v>
      </c>
      <c r="N101" s="152">
        <f>SUM(N102)+N111+N117</f>
        <v>44054.6</v>
      </c>
      <c r="O101" s="152">
        <f>SUM(O102)+O111+O117</f>
        <v>44054.6</v>
      </c>
      <c r="P101" s="152">
        <f t="shared" si="31"/>
        <v>0</v>
      </c>
      <c r="Q101" s="152">
        <f t="shared" si="31"/>
        <v>67884.4</v>
      </c>
      <c r="R101" s="152">
        <f t="shared" si="31"/>
        <v>67884.4</v>
      </c>
      <c r="S101" s="152">
        <f t="shared" si="31"/>
        <v>0</v>
      </c>
      <c r="T101" s="152">
        <f t="shared" si="31"/>
        <v>67770.9</v>
      </c>
      <c r="U101" s="152">
        <f t="shared" si="31"/>
        <v>67770.9</v>
      </c>
      <c r="V101" s="152">
        <f t="shared" si="31"/>
        <v>0</v>
      </c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8"/>
      <c r="AV101" s="348"/>
      <c r="AW101" s="348"/>
      <c r="AX101" s="348"/>
      <c r="AY101" s="348"/>
      <c r="AZ101" s="348"/>
      <c r="BA101" s="348"/>
      <c r="BB101" s="348"/>
      <c r="BC101" s="348"/>
      <c r="BD101" s="348"/>
      <c r="BE101" s="348"/>
      <c r="BF101" s="348"/>
      <c r="BG101" s="348"/>
      <c r="BH101" s="348"/>
      <c r="BI101" s="348"/>
      <c r="BJ101" s="348"/>
      <c r="BK101" s="348"/>
      <c r="BL101" s="348"/>
      <c r="BM101" s="348"/>
      <c r="BN101" s="348"/>
      <c r="BO101" s="348"/>
      <c r="BP101" s="348"/>
      <c r="BQ101" s="348"/>
      <c r="BR101" s="348"/>
      <c r="BS101" s="348"/>
      <c r="BT101" s="348"/>
      <c r="BU101" s="348"/>
      <c r="BV101" s="348"/>
      <c r="BW101" s="348"/>
      <c r="BX101" s="348"/>
      <c r="BY101" s="348"/>
      <c r="BZ101" s="348"/>
      <c r="CA101" s="348"/>
      <c r="CB101" s="348"/>
      <c r="CC101" s="3"/>
      <c r="CD101" s="3"/>
      <c r="CE101" s="3"/>
      <c r="CF101" s="3"/>
      <c r="CG101" s="3"/>
      <c r="CH101" s="3"/>
      <c r="CI101" s="3"/>
      <c r="CJ101" s="3"/>
      <c r="CK101" s="3"/>
      <c r="CL101" s="3"/>
    </row>
    <row r="102" spans="1:90" ht="52.5">
      <c r="A102" s="101" t="s">
        <v>81</v>
      </c>
      <c r="B102" s="101" t="s">
        <v>194</v>
      </c>
      <c r="C102" s="101"/>
      <c r="D102" s="101"/>
      <c r="E102" s="67"/>
      <c r="F102" s="67"/>
      <c r="G102" s="67"/>
      <c r="H102" s="67"/>
      <c r="I102" s="102"/>
      <c r="J102" s="216"/>
      <c r="K102" s="216"/>
      <c r="L102" s="114">
        <f>SUM(L104+L108)</f>
        <v>20204.5</v>
      </c>
      <c r="M102" s="114">
        <f>SUM(M104+M108)</f>
        <v>0</v>
      </c>
      <c r="N102" s="114">
        <f>SUM(N104+N108)</f>
        <v>22056.6</v>
      </c>
      <c r="O102" s="114">
        <f>SUM(O104+O108)</f>
        <v>22056.6</v>
      </c>
      <c r="P102" s="114">
        <f aca="true" t="shared" si="32" ref="P102:U102">SUM(P104+P108)</f>
        <v>0</v>
      </c>
      <c r="Q102" s="114">
        <f t="shared" si="32"/>
        <v>22478.5</v>
      </c>
      <c r="R102" s="114">
        <f t="shared" si="32"/>
        <v>22478.5</v>
      </c>
      <c r="S102" s="114">
        <f t="shared" si="32"/>
        <v>0</v>
      </c>
      <c r="T102" s="114">
        <f t="shared" si="32"/>
        <v>22913.7</v>
      </c>
      <c r="U102" s="114">
        <f t="shared" si="32"/>
        <v>22913.7</v>
      </c>
      <c r="V102" s="114">
        <f>SUM(V104+V108)</f>
        <v>0</v>
      </c>
      <c r="W102" s="4"/>
      <c r="X102" s="4"/>
      <c r="Y102" s="4"/>
      <c r="Z102" s="4"/>
      <c r="AA102" s="4"/>
      <c r="AB102" s="4"/>
      <c r="AC102" s="4"/>
      <c r="AD102" s="4"/>
      <c r="AE102" s="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344"/>
      <c r="BZ102" s="344"/>
      <c r="CA102" s="344"/>
      <c r="CB102" s="344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90" ht="12.75">
      <c r="A103" s="101"/>
      <c r="B103" s="147"/>
      <c r="C103" s="147"/>
      <c r="D103" s="147"/>
      <c r="E103" s="67"/>
      <c r="F103" s="67"/>
      <c r="G103" s="67"/>
      <c r="H103" s="67"/>
      <c r="I103" s="102"/>
      <c r="J103" s="216"/>
      <c r="K103" s="216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4"/>
      <c r="X103" s="4"/>
      <c r="Y103" s="4"/>
      <c r="Z103" s="4"/>
      <c r="AA103" s="4"/>
      <c r="AB103" s="4"/>
      <c r="AC103" s="4"/>
      <c r="AD103" s="4"/>
      <c r="AE103" s="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1:90" ht="38.25" customHeight="1">
      <c r="A104" s="263" t="s">
        <v>195</v>
      </c>
      <c r="B104" s="263"/>
      <c r="C104" s="263"/>
      <c r="D104" s="263"/>
      <c r="E104" s="263"/>
      <c r="F104" s="263"/>
      <c r="G104" s="263"/>
      <c r="H104" s="263"/>
      <c r="I104" s="263"/>
      <c r="J104" s="221"/>
      <c r="K104" s="221"/>
      <c r="L104" s="72">
        <f>SUM(L105:L107)</f>
        <v>20175.6</v>
      </c>
      <c r="M104" s="72">
        <f aca="true" t="shared" si="33" ref="M104:V104">SUM(M105:M107)</f>
        <v>0</v>
      </c>
      <c r="N104" s="72">
        <f>SUM(N105:N107)</f>
        <v>22027.699999999997</v>
      </c>
      <c r="O104" s="72">
        <f>SUM(O105:O107)</f>
        <v>22027.699999999997</v>
      </c>
      <c r="P104" s="72">
        <f t="shared" si="33"/>
        <v>0</v>
      </c>
      <c r="Q104" s="72">
        <f t="shared" si="33"/>
        <v>22447.8</v>
      </c>
      <c r="R104" s="72">
        <f t="shared" si="33"/>
        <v>22447.8</v>
      </c>
      <c r="S104" s="72">
        <f t="shared" si="33"/>
        <v>0</v>
      </c>
      <c r="T104" s="72">
        <f t="shared" si="33"/>
        <v>22881</v>
      </c>
      <c r="U104" s="72">
        <f t="shared" si="33"/>
        <v>22881</v>
      </c>
      <c r="V104" s="72">
        <f t="shared" si="33"/>
        <v>0</v>
      </c>
      <c r="W104" s="4"/>
      <c r="X104" s="4"/>
      <c r="Y104" s="4"/>
      <c r="Z104" s="4"/>
      <c r="AA104" s="4"/>
      <c r="AB104" s="4"/>
      <c r="AC104" s="4"/>
      <c r="AD104" s="4"/>
      <c r="AE104" s="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1:90" ht="405">
      <c r="A105" s="73" t="s">
        <v>84</v>
      </c>
      <c r="B105" s="74" t="s">
        <v>85</v>
      </c>
      <c r="C105" s="75" t="s">
        <v>86</v>
      </c>
      <c r="D105" s="74"/>
      <c r="E105" s="76" t="s">
        <v>381</v>
      </c>
      <c r="F105" s="76" t="s">
        <v>382</v>
      </c>
      <c r="G105" s="76" t="s">
        <v>383</v>
      </c>
      <c r="H105" s="77" t="s">
        <v>384</v>
      </c>
      <c r="I105" s="78" t="s">
        <v>501</v>
      </c>
      <c r="J105" s="209" t="s">
        <v>502</v>
      </c>
      <c r="K105" s="209" t="s">
        <v>503</v>
      </c>
      <c r="L105" s="79">
        <f>SUM(10163.1+79.9+1395.9+204+1370.8+24.2+2.7+518+52.5)</f>
        <v>13811.1</v>
      </c>
      <c r="M105" s="79"/>
      <c r="N105" s="79">
        <f>SUM(11664.2+1424.1+1490.8+882.9)</f>
        <v>15462</v>
      </c>
      <c r="O105" s="79">
        <f>SUM(11664.2+1424.1+1490.8+882.9)</f>
        <v>15462</v>
      </c>
      <c r="P105" s="79"/>
      <c r="Q105" s="79">
        <f>SUM(11664.2+1424.1+1490.8+882.9)</f>
        <v>15462</v>
      </c>
      <c r="R105" s="79">
        <f>SUM(11664.2+1424.1+1490.8+882.9)</f>
        <v>15462</v>
      </c>
      <c r="S105" s="79"/>
      <c r="T105" s="79">
        <f>SUM(11664.2+1424.1+1490.8+882.9)</f>
        <v>15462</v>
      </c>
      <c r="U105" s="79">
        <f>SUM(11664.2+1424.1+1490.8+882.9)</f>
        <v>15462</v>
      </c>
      <c r="V105" s="79"/>
      <c r="W105" s="4"/>
      <c r="X105" s="4"/>
      <c r="Y105" s="4"/>
      <c r="Z105" s="4"/>
      <c r="AA105" s="4"/>
      <c r="AB105" s="4"/>
      <c r="AC105" s="4"/>
      <c r="AD105" s="4"/>
      <c r="AE105" s="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90" ht="241.5" customHeight="1">
      <c r="A106" s="22" t="s">
        <v>90</v>
      </c>
      <c r="B106" s="74" t="s">
        <v>91</v>
      </c>
      <c r="C106" s="75" t="s">
        <v>86</v>
      </c>
      <c r="D106" s="74"/>
      <c r="E106" s="76" t="s">
        <v>464</v>
      </c>
      <c r="F106" s="76" t="s">
        <v>465</v>
      </c>
      <c r="G106" s="76" t="s">
        <v>466</v>
      </c>
      <c r="H106" s="77" t="s">
        <v>467</v>
      </c>
      <c r="I106" s="78" t="s">
        <v>504</v>
      </c>
      <c r="J106" s="209" t="s">
        <v>505</v>
      </c>
      <c r="K106" s="209" t="s">
        <v>468</v>
      </c>
      <c r="L106" s="79">
        <f>SUM(64+4039.4+148.1+99.5+548+78.4+490)</f>
        <v>5467.4</v>
      </c>
      <c r="M106" s="79"/>
      <c r="N106" s="79">
        <f>SUM(4509.9+142.4+1076.4)</f>
        <v>5728.699999999999</v>
      </c>
      <c r="O106" s="79">
        <f>SUM(4509.9+142.4+1076.4)</f>
        <v>5728.699999999999</v>
      </c>
      <c r="P106" s="79"/>
      <c r="Q106" s="79">
        <f>SUM(4798.5+151.5+1145.3)</f>
        <v>6095.3</v>
      </c>
      <c r="R106" s="79">
        <f>SUM(4798.5+151.5+1145.3)</f>
        <v>6095.3</v>
      </c>
      <c r="S106" s="79"/>
      <c r="T106" s="79">
        <f>SUM(5096+160.9+1216.3)</f>
        <v>6473.2</v>
      </c>
      <c r="U106" s="79">
        <f>SUM(5096+160.9+1216.3)</f>
        <v>6473.2</v>
      </c>
      <c r="V106" s="79"/>
      <c r="W106" s="4"/>
      <c r="X106" s="4"/>
      <c r="Y106" s="4"/>
      <c r="Z106" s="4"/>
      <c r="AA106" s="4"/>
      <c r="AB106" s="4"/>
      <c r="AC106" s="4"/>
      <c r="AD106" s="4"/>
      <c r="AE106" s="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:80" ht="395.25" customHeight="1">
      <c r="A107" s="73">
        <v>1.3</v>
      </c>
      <c r="B107" s="78" t="s">
        <v>94</v>
      </c>
      <c r="C107" s="75" t="s">
        <v>86</v>
      </c>
      <c r="D107" s="74"/>
      <c r="E107" s="76" t="s">
        <v>233</v>
      </c>
      <c r="F107" s="76" t="s">
        <v>234</v>
      </c>
      <c r="G107" s="76" t="s">
        <v>329</v>
      </c>
      <c r="H107" s="77" t="s">
        <v>235</v>
      </c>
      <c r="I107" s="80" t="s">
        <v>99</v>
      </c>
      <c r="J107" s="209" t="s">
        <v>462</v>
      </c>
      <c r="K107" s="209" t="s">
        <v>101</v>
      </c>
      <c r="L107" s="79">
        <f>SUM(5.5+180+711.6)</f>
        <v>897.1</v>
      </c>
      <c r="M107" s="79"/>
      <c r="N107" s="79">
        <f>SUM(7+230+600)</f>
        <v>837</v>
      </c>
      <c r="O107" s="79">
        <f>SUM(7+230+600)</f>
        <v>837</v>
      </c>
      <c r="P107" s="79"/>
      <c r="Q107" s="79">
        <f>SUM(7.4+244.7+638.4)</f>
        <v>890.5</v>
      </c>
      <c r="R107" s="79">
        <f>SUM(7.4+244.7+638.4)</f>
        <v>890.5</v>
      </c>
      <c r="S107" s="79"/>
      <c r="T107" s="79">
        <f>SUM(7.9+259.9+678)</f>
        <v>945.8</v>
      </c>
      <c r="U107" s="79">
        <f>SUM(7.9+259.9+678)</f>
        <v>945.8</v>
      </c>
      <c r="V107" s="79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</row>
    <row r="108" spans="1:80" ht="36.75" customHeight="1">
      <c r="A108" s="262" t="s">
        <v>236</v>
      </c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130">
        <f>SUM(L109)</f>
        <v>28.9</v>
      </c>
      <c r="M108" s="130">
        <f aca="true" t="shared" si="34" ref="M108:V109">SUM(M109)</f>
        <v>0</v>
      </c>
      <c r="N108" s="130">
        <f t="shared" si="34"/>
        <v>28.9</v>
      </c>
      <c r="O108" s="130">
        <f t="shared" si="34"/>
        <v>28.9</v>
      </c>
      <c r="P108" s="153">
        <f t="shared" si="34"/>
        <v>0</v>
      </c>
      <c r="Q108" s="153">
        <f t="shared" si="34"/>
        <v>30.7</v>
      </c>
      <c r="R108" s="153">
        <f t="shared" si="34"/>
        <v>30.7</v>
      </c>
      <c r="S108" s="153">
        <f t="shared" si="34"/>
        <v>0</v>
      </c>
      <c r="T108" s="153">
        <f t="shared" si="34"/>
        <v>32.7</v>
      </c>
      <c r="U108" s="153">
        <f t="shared" si="34"/>
        <v>32.7</v>
      </c>
      <c r="V108" s="153">
        <f>SUM(V109)</f>
        <v>0</v>
      </c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</row>
    <row r="109" spans="1:80" ht="12.75">
      <c r="A109" s="383" t="s">
        <v>237</v>
      </c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118">
        <f>SUM(L110)</f>
        <v>28.9</v>
      </c>
      <c r="M109" s="118">
        <f t="shared" si="34"/>
        <v>0</v>
      </c>
      <c r="N109" s="118">
        <f t="shared" si="34"/>
        <v>28.9</v>
      </c>
      <c r="O109" s="118">
        <f t="shared" si="34"/>
        <v>28.9</v>
      </c>
      <c r="P109" s="122">
        <f t="shared" si="34"/>
        <v>0</v>
      </c>
      <c r="Q109" s="122">
        <f t="shared" si="34"/>
        <v>30.7</v>
      </c>
      <c r="R109" s="122">
        <f t="shared" si="34"/>
        <v>30.7</v>
      </c>
      <c r="S109" s="122">
        <f t="shared" si="34"/>
        <v>0</v>
      </c>
      <c r="T109" s="122">
        <f t="shared" si="34"/>
        <v>32.7</v>
      </c>
      <c r="U109" s="122">
        <f t="shared" si="34"/>
        <v>32.7</v>
      </c>
      <c r="V109" s="122">
        <f t="shared" si="34"/>
        <v>0</v>
      </c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</row>
    <row r="110" spans="1:80" ht="216" customHeight="1">
      <c r="A110" s="384" t="s">
        <v>238</v>
      </c>
      <c r="B110" s="94" t="s">
        <v>23</v>
      </c>
      <c r="C110" s="115"/>
      <c r="D110" s="115"/>
      <c r="E110" s="76" t="s">
        <v>41</v>
      </c>
      <c r="F110" s="76" t="s">
        <v>3</v>
      </c>
      <c r="G110" s="76" t="s">
        <v>330</v>
      </c>
      <c r="H110" s="76" t="s">
        <v>239</v>
      </c>
      <c r="I110" s="73" t="s">
        <v>469</v>
      </c>
      <c r="J110" s="213" t="s">
        <v>470</v>
      </c>
      <c r="K110" s="213" t="s">
        <v>468</v>
      </c>
      <c r="L110" s="154">
        <v>28.9</v>
      </c>
      <c r="M110" s="154"/>
      <c r="N110" s="154">
        <v>28.9</v>
      </c>
      <c r="O110" s="118">
        <v>28.9</v>
      </c>
      <c r="P110" s="118"/>
      <c r="Q110" s="118">
        <v>30.7</v>
      </c>
      <c r="R110" s="118">
        <v>30.7</v>
      </c>
      <c r="S110" s="118"/>
      <c r="T110" s="118">
        <v>32.7</v>
      </c>
      <c r="U110" s="118">
        <v>32.7</v>
      </c>
      <c r="V110" s="118"/>
      <c r="W110" s="325"/>
      <c r="X110" s="325"/>
      <c r="Y110" s="325"/>
      <c r="Z110" s="325"/>
      <c r="AA110" s="325"/>
      <c r="AB110" s="325"/>
      <c r="AC110" s="325"/>
      <c r="AD110" s="325"/>
      <c r="AE110" s="325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</row>
    <row r="111" spans="1:80" ht="25.5" customHeight="1">
      <c r="A111" s="364" t="s">
        <v>223</v>
      </c>
      <c r="B111" s="394" t="s">
        <v>240</v>
      </c>
      <c r="C111" s="394"/>
      <c r="D111" s="394"/>
      <c r="E111" s="394"/>
      <c r="F111" s="394"/>
      <c r="G111" s="394"/>
      <c r="H111" s="394"/>
      <c r="I111" s="394"/>
      <c r="J111" s="394"/>
      <c r="K111" s="394"/>
      <c r="L111" s="155">
        <f>SUM(L113:L116)</f>
        <v>10789.7</v>
      </c>
      <c r="M111" s="155">
        <f>SUM(M113:M114)</f>
        <v>0</v>
      </c>
      <c r="N111" s="155">
        <f>SUM(N113:N116)</f>
        <v>6184.5</v>
      </c>
      <c r="O111" s="155">
        <f aca="true" t="shared" si="35" ref="O111:V111">SUM(O113:O116)</f>
        <v>6184.5</v>
      </c>
      <c r="P111" s="155">
        <f t="shared" si="35"/>
        <v>0</v>
      </c>
      <c r="Q111" s="155">
        <f t="shared" si="35"/>
        <v>6580.4</v>
      </c>
      <c r="R111" s="155">
        <f t="shared" si="35"/>
        <v>6580.4</v>
      </c>
      <c r="S111" s="155">
        <f t="shared" si="35"/>
        <v>0</v>
      </c>
      <c r="T111" s="155">
        <f t="shared" si="35"/>
        <v>6988.299999999999</v>
      </c>
      <c r="U111" s="155">
        <f t="shared" si="35"/>
        <v>6988.299999999999</v>
      </c>
      <c r="V111" s="155">
        <f t="shared" si="35"/>
        <v>0</v>
      </c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</row>
    <row r="112" spans="1:90" ht="12.75">
      <c r="A112" s="395" t="s">
        <v>0</v>
      </c>
      <c r="B112" s="396" t="s">
        <v>46</v>
      </c>
      <c r="C112" s="396"/>
      <c r="D112" s="396"/>
      <c r="E112" s="396"/>
      <c r="F112" s="396"/>
      <c r="G112" s="396"/>
      <c r="H112" s="396"/>
      <c r="I112" s="156"/>
      <c r="J112" s="222"/>
      <c r="K112" s="222"/>
      <c r="L112" s="156"/>
      <c r="M112" s="156"/>
      <c r="N112" s="156"/>
      <c r="O112" s="157"/>
      <c r="P112" s="157"/>
      <c r="Q112" s="157"/>
      <c r="R112" s="157"/>
      <c r="S112" s="157"/>
      <c r="T112" s="157"/>
      <c r="U112" s="157"/>
      <c r="V112" s="157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</row>
    <row r="113" spans="1:80" ht="312.75" customHeight="1">
      <c r="A113" s="73">
        <v>1.1</v>
      </c>
      <c r="B113" s="7" t="s">
        <v>241</v>
      </c>
      <c r="C113" s="5"/>
      <c r="D113" s="5"/>
      <c r="E113" s="76" t="s">
        <v>649</v>
      </c>
      <c r="F113" s="76" t="s">
        <v>650</v>
      </c>
      <c r="G113" s="76" t="s">
        <v>647</v>
      </c>
      <c r="H113" s="76" t="s">
        <v>648</v>
      </c>
      <c r="I113" s="93" t="s">
        <v>242</v>
      </c>
      <c r="J113" s="212" t="s">
        <v>483</v>
      </c>
      <c r="K113" s="212" t="s">
        <v>243</v>
      </c>
      <c r="L113" s="158">
        <f>SUM(95+699+1122.5)</f>
        <v>1916.5</v>
      </c>
      <c r="M113" s="158"/>
      <c r="N113" s="158">
        <v>1747.5</v>
      </c>
      <c r="O113" s="158">
        <v>1747.5</v>
      </c>
      <c r="P113" s="5"/>
      <c r="Q113" s="158">
        <v>1859.4</v>
      </c>
      <c r="R113" s="158">
        <v>1859.4</v>
      </c>
      <c r="S113" s="158"/>
      <c r="T113" s="158">
        <v>1974.7</v>
      </c>
      <c r="U113" s="158">
        <v>1974.7</v>
      </c>
      <c r="V113" s="5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</row>
    <row r="114" spans="1:80" ht="232.5" customHeight="1">
      <c r="A114" s="73">
        <v>1.2</v>
      </c>
      <c r="B114" s="7" t="s">
        <v>244</v>
      </c>
      <c r="C114" s="159"/>
      <c r="D114" s="159"/>
      <c r="E114" s="76" t="s">
        <v>653</v>
      </c>
      <c r="F114" s="76" t="s">
        <v>654</v>
      </c>
      <c r="G114" s="76" t="s">
        <v>651</v>
      </c>
      <c r="H114" s="76" t="s">
        <v>652</v>
      </c>
      <c r="I114" s="93" t="s">
        <v>245</v>
      </c>
      <c r="J114" s="212" t="s">
        <v>484</v>
      </c>
      <c r="K114" s="212" t="s">
        <v>491</v>
      </c>
      <c r="L114" s="158">
        <f>SUM(972+1458)</f>
        <v>2430</v>
      </c>
      <c r="M114" s="158"/>
      <c r="N114" s="158">
        <v>2187</v>
      </c>
      <c r="O114" s="158">
        <v>2187</v>
      </c>
      <c r="P114" s="158"/>
      <c r="Q114" s="158">
        <v>2327</v>
      </c>
      <c r="R114" s="158">
        <v>2327</v>
      </c>
      <c r="S114" s="158"/>
      <c r="T114" s="158">
        <v>2471.2</v>
      </c>
      <c r="U114" s="158">
        <v>2471.2</v>
      </c>
      <c r="V114" s="158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</row>
    <row r="115" spans="1:80" ht="271.5" customHeight="1">
      <c r="A115" s="73" t="s">
        <v>109</v>
      </c>
      <c r="B115" s="191" t="s">
        <v>338</v>
      </c>
      <c r="C115" s="5"/>
      <c r="D115" s="5"/>
      <c r="E115" s="86" t="s">
        <v>354</v>
      </c>
      <c r="F115" s="86" t="s">
        <v>662</v>
      </c>
      <c r="G115" s="86" t="s">
        <v>663</v>
      </c>
      <c r="H115" s="86" t="s">
        <v>664</v>
      </c>
      <c r="I115" s="92" t="s">
        <v>485</v>
      </c>
      <c r="J115" s="212" t="s">
        <v>487</v>
      </c>
      <c r="K115" s="212" t="s">
        <v>486</v>
      </c>
      <c r="L115" s="79">
        <f>SUM(2450+2493.2)</f>
        <v>4943.2</v>
      </c>
      <c r="M115" s="79"/>
      <c r="N115" s="79">
        <v>2000</v>
      </c>
      <c r="O115" s="79">
        <v>2000</v>
      </c>
      <c r="P115" s="5"/>
      <c r="Q115" s="161">
        <v>2128</v>
      </c>
      <c r="R115" s="161">
        <v>2128</v>
      </c>
      <c r="S115" s="161"/>
      <c r="T115" s="161">
        <v>2259.9</v>
      </c>
      <c r="U115" s="161">
        <v>2259.9</v>
      </c>
      <c r="V115" s="160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</row>
    <row r="116" spans="1:80" ht="117" customHeight="1">
      <c r="A116" s="73"/>
      <c r="B116" s="191" t="s">
        <v>337</v>
      </c>
      <c r="C116" s="85"/>
      <c r="D116" s="85"/>
      <c r="E116" s="86" t="s">
        <v>655</v>
      </c>
      <c r="F116" s="86" t="s">
        <v>656</v>
      </c>
      <c r="G116" s="86" t="s">
        <v>657</v>
      </c>
      <c r="H116" s="86" t="s">
        <v>398</v>
      </c>
      <c r="I116" s="88" t="s">
        <v>488</v>
      </c>
      <c r="J116" s="89" t="s">
        <v>489</v>
      </c>
      <c r="K116" s="90" t="s">
        <v>490</v>
      </c>
      <c r="L116" s="79">
        <v>1500</v>
      </c>
      <c r="M116" s="79"/>
      <c r="N116" s="79">
        <v>250</v>
      </c>
      <c r="O116" s="79">
        <v>250</v>
      </c>
      <c r="P116" s="79"/>
      <c r="Q116" s="79">
        <v>266</v>
      </c>
      <c r="R116" s="79">
        <v>266</v>
      </c>
      <c r="S116" s="79"/>
      <c r="T116" s="79">
        <v>282.5</v>
      </c>
      <c r="U116" s="79">
        <v>282.5</v>
      </c>
      <c r="V116" s="79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</row>
    <row r="117" spans="1:80" ht="12.75">
      <c r="A117" s="82" t="s">
        <v>102</v>
      </c>
      <c r="B117" s="81" t="s">
        <v>94</v>
      </c>
      <c r="C117" s="82"/>
      <c r="D117" s="82"/>
      <c r="E117" s="82"/>
      <c r="F117" s="82"/>
      <c r="G117" s="82"/>
      <c r="H117" s="82"/>
      <c r="I117" s="82"/>
      <c r="J117" s="210"/>
      <c r="K117" s="210"/>
      <c r="L117" s="83">
        <f>SUM(L118:L134)</f>
        <v>45178</v>
      </c>
      <c r="M117" s="83">
        <f>SUM(M119:M134)</f>
        <v>0</v>
      </c>
      <c r="N117" s="83">
        <f aca="true" t="shared" si="36" ref="N117:V117">SUM(N118:N134)</f>
        <v>15813.5</v>
      </c>
      <c r="O117" s="83">
        <f t="shared" si="36"/>
        <v>15813.5</v>
      </c>
      <c r="P117" s="83">
        <f t="shared" si="36"/>
        <v>0</v>
      </c>
      <c r="Q117" s="83">
        <f t="shared" si="36"/>
        <v>38825.5</v>
      </c>
      <c r="R117" s="83">
        <f t="shared" si="36"/>
        <v>38825.5</v>
      </c>
      <c r="S117" s="83">
        <f t="shared" si="36"/>
        <v>0</v>
      </c>
      <c r="T117" s="83">
        <f t="shared" si="36"/>
        <v>37868.9</v>
      </c>
      <c r="U117" s="83">
        <f t="shared" si="36"/>
        <v>37868.9</v>
      </c>
      <c r="V117" s="83">
        <f t="shared" si="36"/>
        <v>0</v>
      </c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</row>
    <row r="118" spans="1:80" s="189" customFormat="1" ht="110.25" customHeight="1">
      <c r="A118" s="374"/>
      <c r="B118" s="78" t="s">
        <v>334</v>
      </c>
      <c r="C118" s="374"/>
      <c r="D118" s="374"/>
      <c r="E118" s="86" t="s">
        <v>2</v>
      </c>
      <c r="F118" s="86" t="s">
        <v>39</v>
      </c>
      <c r="G118" s="86" t="s">
        <v>30</v>
      </c>
      <c r="H118" s="86" t="s">
        <v>33</v>
      </c>
      <c r="I118" s="374" t="s">
        <v>492</v>
      </c>
      <c r="J118" s="378" t="s">
        <v>493</v>
      </c>
      <c r="K118" s="378" t="s">
        <v>494</v>
      </c>
      <c r="L118" s="242">
        <v>290.9</v>
      </c>
      <c r="M118" s="242"/>
      <c r="N118" s="242">
        <v>215</v>
      </c>
      <c r="O118" s="242">
        <v>215</v>
      </c>
      <c r="P118" s="242"/>
      <c r="Q118" s="242">
        <v>228.8</v>
      </c>
      <c r="R118" s="242">
        <v>228.8</v>
      </c>
      <c r="S118" s="242"/>
      <c r="T118" s="242">
        <v>242.9</v>
      </c>
      <c r="U118" s="242">
        <v>242.9</v>
      </c>
      <c r="V118" s="242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0"/>
      <c r="AP118" s="350"/>
      <c r="AQ118" s="350"/>
      <c r="AR118" s="350"/>
      <c r="AS118" s="350"/>
      <c r="AT118" s="350"/>
      <c r="AU118" s="350"/>
      <c r="AV118" s="350"/>
      <c r="AW118" s="350"/>
      <c r="AX118" s="350"/>
      <c r="AY118" s="350"/>
      <c r="AZ118" s="350"/>
      <c r="BA118" s="350"/>
      <c r="BB118" s="350"/>
      <c r="BC118" s="350"/>
      <c r="BD118" s="350"/>
      <c r="BE118" s="350"/>
      <c r="BF118" s="350"/>
      <c r="BG118" s="350"/>
      <c r="BH118" s="350"/>
      <c r="BI118" s="350"/>
      <c r="BJ118" s="350"/>
      <c r="BK118" s="350"/>
      <c r="BL118" s="350"/>
      <c r="BM118" s="350"/>
      <c r="BN118" s="350"/>
      <c r="BO118" s="350"/>
      <c r="BP118" s="350"/>
      <c r="BQ118" s="350"/>
      <c r="BR118" s="350"/>
      <c r="BS118" s="350"/>
      <c r="BT118" s="350"/>
      <c r="BU118" s="350"/>
      <c r="BV118" s="350"/>
      <c r="BW118" s="350"/>
      <c r="BX118" s="350"/>
      <c r="BY118" s="350"/>
      <c r="BZ118" s="350"/>
      <c r="CA118" s="350"/>
      <c r="CB118" s="350"/>
    </row>
    <row r="119" spans="1:80" ht="188.25" customHeight="1">
      <c r="A119" s="73" t="s">
        <v>84</v>
      </c>
      <c r="B119" s="191" t="s">
        <v>111</v>
      </c>
      <c r="C119" s="5"/>
      <c r="D119" s="5"/>
      <c r="E119" s="86" t="s">
        <v>4</v>
      </c>
      <c r="F119" s="86" t="s">
        <v>8</v>
      </c>
      <c r="G119" s="86" t="s">
        <v>307</v>
      </c>
      <c r="H119" s="86" t="s">
        <v>37</v>
      </c>
      <c r="I119" s="87" t="s">
        <v>495</v>
      </c>
      <c r="J119" s="211" t="s">
        <v>588</v>
      </c>
      <c r="K119" s="211" t="s">
        <v>107</v>
      </c>
      <c r="L119" s="79">
        <v>16.9</v>
      </c>
      <c r="M119" s="79"/>
      <c r="N119" s="79">
        <v>150</v>
      </c>
      <c r="O119" s="79">
        <v>150</v>
      </c>
      <c r="P119" s="5"/>
      <c r="Q119" s="79">
        <v>159.6</v>
      </c>
      <c r="R119" s="79">
        <v>159.6</v>
      </c>
      <c r="S119" s="79"/>
      <c r="T119" s="79">
        <v>169.5</v>
      </c>
      <c r="U119" s="79">
        <v>169.5</v>
      </c>
      <c r="V119" s="79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</row>
    <row r="120" spans="1:80" ht="120" customHeight="1">
      <c r="A120" s="73" t="s">
        <v>90</v>
      </c>
      <c r="B120" s="191" t="s">
        <v>246</v>
      </c>
      <c r="C120" s="5"/>
      <c r="D120" s="5"/>
      <c r="E120" s="86" t="s">
        <v>658</v>
      </c>
      <c r="F120" s="86" t="s">
        <v>659</v>
      </c>
      <c r="G120" s="86" t="s">
        <v>660</v>
      </c>
      <c r="H120" s="86" t="s">
        <v>661</v>
      </c>
      <c r="I120" s="164" t="s">
        <v>247</v>
      </c>
      <c r="J120" s="224" t="s">
        <v>248</v>
      </c>
      <c r="K120" s="224" t="s">
        <v>249</v>
      </c>
      <c r="L120" s="79">
        <v>20.5</v>
      </c>
      <c r="M120" s="79"/>
      <c r="N120" s="79">
        <v>872</v>
      </c>
      <c r="O120" s="79">
        <v>872</v>
      </c>
      <c r="P120" s="5"/>
      <c r="Q120" s="161">
        <v>927.8</v>
      </c>
      <c r="R120" s="161">
        <v>927.8</v>
      </c>
      <c r="S120" s="161"/>
      <c r="T120" s="161">
        <v>985.3</v>
      </c>
      <c r="U120" s="161">
        <v>985.3</v>
      </c>
      <c r="V120" s="160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1:90" ht="160.5" customHeight="1">
      <c r="A121" s="73"/>
      <c r="B121" s="191" t="s">
        <v>43</v>
      </c>
      <c r="C121" s="5"/>
      <c r="D121" s="5"/>
      <c r="E121" s="86" t="s">
        <v>5</v>
      </c>
      <c r="F121" s="86" t="s">
        <v>42</v>
      </c>
      <c r="G121" s="86" t="s">
        <v>335</v>
      </c>
      <c r="H121" s="86" t="s">
        <v>33</v>
      </c>
      <c r="I121" s="237" t="s">
        <v>508</v>
      </c>
      <c r="J121" s="89" t="s">
        <v>507</v>
      </c>
      <c r="K121" s="90" t="s">
        <v>506</v>
      </c>
      <c r="L121" s="79">
        <v>201.9</v>
      </c>
      <c r="M121" s="79"/>
      <c r="N121" s="79">
        <v>800</v>
      </c>
      <c r="O121" s="79">
        <v>800</v>
      </c>
      <c r="P121" s="5"/>
      <c r="Q121" s="79">
        <v>851.2</v>
      </c>
      <c r="R121" s="79">
        <v>851.2</v>
      </c>
      <c r="S121" s="5"/>
      <c r="T121" s="79">
        <v>904</v>
      </c>
      <c r="U121" s="79">
        <v>904</v>
      </c>
      <c r="V121" s="5"/>
      <c r="W121" s="4"/>
      <c r="X121" s="4"/>
      <c r="Y121" s="4"/>
      <c r="Z121" s="4"/>
      <c r="AA121" s="4"/>
      <c r="AB121" s="4"/>
      <c r="AC121" s="4"/>
      <c r="AD121" s="4"/>
      <c r="AE121" s="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1:80" ht="145.5" customHeight="1">
      <c r="A122" s="73" t="s">
        <v>110</v>
      </c>
      <c r="B122" s="191" t="s">
        <v>22</v>
      </c>
      <c r="C122" s="85"/>
      <c r="D122" s="85"/>
      <c r="E122" s="86" t="s">
        <v>250</v>
      </c>
      <c r="F122" s="86" t="s">
        <v>251</v>
      </c>
      <c r="G122" s="86" t="s">
        <v>336</v>
      </c>
      <c r="H122" s="86" t="s">
        <v>252</v>
      </c>
      <c r="I122" s="88" t="s">
        <v>509</v>
      </c>
      <c r="J122" s="89" t="s">
        <v>510</v>
      </c>
      <c r="K122" s="90" t="s">
        <v>506</v>
      </c>
      <c r="L122" s="79">
        <v>380.7</v>
      </c>
      <c r="M122" s="79"/>
      <c r="N122" s="79">
        <v>400</v>
      </c>
      <c r="O122" s="79">
        <v>400</v>
      </c>
      <c r="P122" s="79"/>
      <c r="Q122" s="79">
        <v>425.6</v>
      </c>
      <c r="R122" s="79">
        <v>425.6</v>
      </c>
      <c r="S122" s="79"/>
      <c r="T122" s="79">
        <v>452</v>
      </c>
      <c r="U122" s="79">
        <v>452</v>
      </c>
      <c r="V122" s="79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</row>
    <row r="123" spans="1:80" ht="168.75" customHeight="1">
      <c r="A123" s="73"/>
      <c r="B123" s="191" t="s">
        <v>13</v>
      </c>
      <c r="C123" s="85"/>
      <c r="D123" s="85"/>
      <c r="E123" s="86" t="s">
        <v>6</v>
      </c>
      <c r="F123" s="86" t="s">
        <v>2</v>
      </c>
      <c r="G123" s="86" t="s">
        <v>32</v>
      </c>
      <c r="H123" s="86" t="s">
        <v>33</v>
      </c>
      <c r="I123" s="78" t="s">
        <v>147</v>
      </c>
      <c r="J123" s="218" t="s">
        <v>148</v>
      </c>
      <c r="K123" s="215" t="s">
        <v>138</v>
      </c>
      <c r="L123" s="79">
        <v>53.4</v>
      </c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</row>
    <row r="124" spans="1:80" ht="130.5" customHeight="1">
      <c r="A124" s="73"/>
      <c r="B124" s="191" t="s">
        <v>385</v>
      </c>
      <c r="C124" s="85"/>
      <c r="D124" s="85"/>
      <c r="E124" s="86" t="s">
        <v>327</v>
      </c>
      <c r="F124" s="86" t="s">
        <v>672</v>
      </c>
      <c r="G124" s="86" t="s">
        <v>665</v>
      </c>
      <c r="H124" s="86" t="s">
        <v>671</v>
      </c>
      <c r="I124" s="78" t="s">
        <v>586</v>
      </c>
      <c r="J124" s="218" t="s">
        <v>248</v>
      </c>
      <c r="K124" s="215" t="s">
        <v>107</v>
      </c>
      <c r="L124" s="79">
        <f>SUM(2095.5+450)</f>
        <v>2545.5</v>
      </c>
      <c r="M124" s="79"/>
      <c r="N124" s="79">
        <v>1372.5</v>
      </c>
      <c r="O124" s="79">
        <v>1372.5</v>
      </c>
      <c r="P124" s="79"/>
      <c r="Q124" s="79">
        <v>1460.3</v>
      </c>
      <c r="R124" s="79">
        <v>1460.3</v>
      </c>
      <c r="S124" s="79"/>
      <c r="T124" s="79">
        <v>1550.9</v>
      </c>
      <c r="U124" s="79">
        <v>1550.9</v>
      </c>
      <c r="V124" s="7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</row>
    <row r="125" spans="1:90" ht="135" customHeight="1">
      <c r="A125" s="73">
        <v>1.5</v>
      </c>
      <c r="B125" s="191" t="s">
        <v>15</v>
      </c>
      <c r="C125" s="85"/>
      <c r="D125" s="85"/>
      <c r="E125" s="86" t="s">
        <v>6</v>
      </c>
      <c r="F125" s="86" t="s">
        <v>2</v>
      </c>
      <c r="G125" s="86" t="s">
        <v>339</v>
      </c>
      <c r="H125" s="86" t="s">
        <v>33</v>
      </c>
      <c r="I125" s="88" t="s">
        <v>497</v>
      </c>
      <c r="J125" s="89" t="s">
        <v>498</v>
      </c>
      <c r="K125" s="90" t="s">
        <v>232</v>
      </c>
      <c r="L125" s="79">
        <v>860</v>
      </c>
      <c r="M125" s="79"/>
      <c r="N125" s="79">
        <v>860</v>
      </c>
      <c r="O125" s="79">
        <v>860</v>
      </c>
      <c r="P125" s="79"/>
      <c r="Q125" s="79">
        <v>915</v>
      </c>
      <c r="R125" s="79">
        <v>915</v>
      </c>
      <c r="S125" s="79"/>
      <c r="T125" s="79">
        <v>971.8</v>
      </c>
      <c r="U125" s="79">
        <v>971.8</v>
      </c>
      <c r="V125" s="79"/>
      <c r="W125" s="4"/>
      <c r="X125" s="4"/>
      <c r="Y125" s="4"/>
      <c r="Z125" s="4"/>
      <c r="AA125" s="4"/>
      <c r="AB125" s="4"/>
      <c r="AC125" s="4"/>
      <c r="AD125" s="4"/>
      <c r="AE125" s="4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  <c r="AS125" s="351"/>
      <c r="AT125" s="351"/>
      <c r="AU125" s="351"/>
      <c r="AV125" s="351"/>
      <c r="AW125" s="351"/>
      <c r="AX125" s="351"/>
      <c r="AY125" s="351"/>
      <c r="AZ125" s="351"/>
      <c r="BA125" s="351"/>
      <c r="BB125" s="351"/>
      <c r="BC125" s="351"/>
      <c r="BD125" s="351"/>
      <c r="BE125" s="351"/>
      <c r="BF125" s="351"/>
      <c r="BG125" s="351"/>
      <c r="BH125" s="351"/>
      <c r="BI125" s="351"/>
      <c r="BJ125" s="351"/>
      <c r="BK125" s="351"/>
      <c r="BL125" s="351"/>
      <c r="BM125" s="351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1"/>
      <c r="CA125" s="351"/>
      <c r="CB125" s="351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</row>
    <row r="126" spans="1:80" ht="146.25" customHeight="1">
      <c r="A126" s="73">
        <v>1.7</v>
      </c>
      <c r="B126" s="191" t="s">
        <v>17</v>
      </c>
      <c r="C126" s="159"/>
      <c r="D126" s="159"/>
      <c r="E126" s="108" t="s">
        <v>6</v>
      </c>
      <c r="F126" s="108" t="s">
        <v>7</v>
      </c>
      <c r="G126" s="108" t="s">
        <v>51</v>
      </c>
      <c r="H126" s="108" t="s">
        <v>45</v>
      </c>
      <c r="I126" s="93" t="s">
        <v>511</v>
      </c>
      <c r="J126" s="212" t="s">
        <v>514</v>
      </c>
      <c r="K126" s="212" t="s">
        <v>515</v>
      </c>
      <c r="L126" s="158">
        <v>440</v>
      </c>
      <c r="M126" s="158"/>
      <c r="N126" s="158">
        <v>300</v>
      </c>
      <c r="O126" s="158">
        <v>300</v>
      </c>
      <c r="P126" s="158"/>
      <c r="Q126" s="158">
        <v>319.2</v>
      </c>
      <c r="R126" s="158">
        <v>319.2</v>
      </c>
      <c r="S126" s="158"/>
      <c r="T126" s="158">
        <v>339</v>
      </c>
      <c r="U126" s="158">
        <v>339</v>
      </c>
      <c r="V126" s="158"/>
      <c r="W126" s="352"/>
      <c r="X126" s="352"/>
      <c r="Y126" s="352"/>
      <c r="Z126" s="352"/>
      <c r="AA126" s="352"/>
      <c r="AB126" s="352"/>
      <c r="AC126" s="352"/>
      <c r="AD126" s="352"/>
      <c r="AE126" s="352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</row>
    <row r="127" spans="1:80" ht="258.75" customHeight="1">
      <c r="A127" s="73"/>
      <c r="B127" s="191" t="s">
        <v>253</v>
      </c>
      <c r="C127" s="159"/>
      <c r="D127" s="159"/>
      <c r="E127" s="108" t="s">
        <v>340</v>
      </c>
      <c r="F127" s="108" t="s">
        <v>677</v>
      </c>
      <c r="G127" s="108" t="s">
        <v>678</v>
      </c>
      <c r="H127" s="108" t="s">
        <v>679</v>
      </c>
      <c r="I127" s="93" t="s">
        <v>511</v>
      </c>
      <c r="J127" s="212" t="s">
        <v>512</v>
      </c>
      <c r="K127" s="212" t="s">
        <v>513</v>
      </c>
      <c r="L127" s="158">
        <f>SUM(2243+761.3+2090+51.5)</f>
        <v>5145.8</v>
      </c>
      <c r="M127" s="158"/>
      <c r="N127" s="158">
        <v>1500</v>
      </c>
      <c r="O127" s="158">
        <v>1500</v>
      </c>
      <c r="P127" s="158"/>
      <c r="Q127" s="158">
        <v>1596</v>
      </c>
      <c r="R127" s="158">
        <v>1596</v>
      </c>
      <c r="S127" s="158"/>
      <c r="T127" s="158">
        <f>SUM(678+1017)</f>
        <v>1695</v>
      </c>
      <c r="U127" s="158">
        <f>SUM(678+1017)</f>
        <v>1695</v>
      </c>
      <c r="V127" s="158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</row>
    <row r="128" spans="1:80" ht="157.5" customHeight="1">
      <c r="A128" s="73">
        <v>1.8</v>
      </c>
      <c r="B128" s="191" t="s">
        <v>341</v>
      </c>
      <c r="C128" s="159"/>
      <c r="D128" s="159"/>
      <c r="E128" s="108" t="s">
        <v>673</v>
      </c>
      <c r="F128" s="108" t="s">
        <v>674</v>
      </c>
      <c r="G128" s="108" t="s">
        <v>675</v>
      </c>
      <c r="H128" s="108" t="s">
        <v>676</v>
      </c>
      <c r="I128" s="78" t="s">
        <v>551</v>
      </c>
      <c r="J128" s="209" t="s">
        <v>496</v>
      </c>
      <c r="K128" s="209" t="s">
        <v>258</v>
      </c>
      <c r="L128" s="158">
        <f>SUM(5746.3+16318.6+3978.5)</f>
        <v>26043.4</v>
      </c>
      <c r="M128" s="158"/>
      <c r="N128" s="158">
        <v>9252</v>
      </c>
      <c r="O128" s="158">
        <v>9252</v>
      </c>
      <c r="P128" s="158"/>
      <c r="Q128" s="158">
        <v>31844.1</v>
      </c>
      <c r="R128" s="158">
        <v>31844.1</v>
      </c>
      <c r="S128" s="158"/>
      <c r="T128" s="158">
        <v>10454.5</v>
      </c>
      <c r="U128" s="158">
        <v>10454.5</v>
      </c>
      <c r="V128" s="158"/>
      <c r="W128" s="352"/>
      <c r="X128" s="352"/>
      <c r="Y128" s="352"/>
      <c r="Z128" s="352"/>
      <c r="AA128" s="352"/>
      <c r="AB128" s="352"/>
      <c r="AC128" s="352"/>
      <c r="AD128" s="352"/>
      <c r="AE128" s="352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</row>
    <row r="129" spans="1:80" ht="207.75" customHeight="1">
      <c r="A129" s="73"/>
      <c r="B129" s="191" t="s">
        <v>670</v>
      </c>
      <c r="C129" s="94"/>
      <c r="D129" s="94"/>
      <c r="E129" s="162" t="s">
        <v>666</v>
      </c>
      <c r="F129" s="162" t="s">
        <v>667</v>
      </c>
      <c r="G129" s="108" t="s">
        <v>668</v>
      </c>
      <c r="H129" s="77" t="s">
        <v>669</v>
      </c>
      <c r="I129" s="92" t="s">
        <v>516</v>
      </c>
      <c r="J129" s="212" t="s">
        <v>517</v>
      </c>
      <c r="K129" s="212" t="s">
        <v>255</v>
      </c>
      <c r="L129" s="158">
        <f>SUM(1468+188.2+2194.9+341.5+17.1+996.5+1770.3)</f>
        <v>6976.500000000001</v>
      </c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</row>
    <row r="130" spans="1:80" ht="160.5" customHeight="1">
      <c r="A130" s="73"/>
      <c r="B130" s="191" t="s">
        <v>385</v>
      </c>
      <c r="C130" s="94"/>
      <c r="D130" s="94"/>
      <c r="E130" s="162" t="s">
        <v>10</v>
      </c>
      <c r="F130" s="162" t="s">
        <v>2</v>
      </c>
      <c r="G130" s="163" t="s">
        <v>44</v>
      </c>
      <c r="H130" s="163" t="s">
        <v>256</v>
      </c>
      <c r="I130" s="78" t="s">
        <v>500</v>
      </c>
      <c r="J130" s="209" t="s">
        <v>496</v>
      </c>
      <c r="K130" s="209" t="s">
        <v>258</v>
      </c>
      <c r="L130" s="158">
        <v>442</v>
      </c>
      <c r="M130" s="158"/>
      <c r="N130" s="158"/>
      <c r="O130" s="158"/>
      <c r="P130" s="158"/>
      <c r="Q130" s="158"/>
      <c r="R130" s="158"/>
      <c r="S130" s="158"/>
      <c r="T130" s="158">
        <v>20000</v>
      </c>
      <c r="U130" s="158">
        <v>20000</v>
      </c>
      <c r="V130" s="158"/>
      <c r="W130" s="352"/>
      <c r="X130" s="352"/>
      <c r="Y130" s="352"/>
      <c r="Z130" s="352"/>
      <c r="AA130" s="352"/>
      <c r="AB130" s="352"/>
      <c r="AC130" s="352"/>
      <c r="AD130" s="352"/>
      <c r="AE130" s="352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</row>
    <row r="131" spans="1:80" ht="316.5" customHeight="1">
      <c r="A131" s="73"/>
      <c r="B131" s="191" t="s">
        <v>390</v>
      </c>
      <c r="C131" s="94"/>
      <c r="D131" s="94"/>
      <c r="E131" s="162" t="s">
        <v>386</v>
      </c>
      <c r="F131" s="162" t="s">
        <v>387</v>
      </c>
      <c r="G131" s="77" t="s">
        <v>388</v>
      </c>
      <c r="H131" s="77" t="s">
        <v>389</v>
      </c>
      <c r="I131" s="78" t="s">
        <v>518</v>
      </c>
      <c r="J131" s="209" t="s">
        <v>519</v>
      </c>
      <c r="K131" s="209" t="s">
        <v>520</v>
      </c>
      <c r="L131" s="247">
        <f>SUM(84.7+55.8+762.6)</f>
        <v>903.1</v>
      </c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</row>
    <row r="132" spans="1:80" ht="74.25" customHeight="1">
      <c r="A132" s="5"/>
      <c r="B132" s="191" t="s">
        <v>52</v>
      </c>
      <c r="C132" s="5"/>
      <c r="D132" s="5"/>
      <c r="E132" s="162" t="s">
        <v>10</v>
      </c>
      <c r="F132" s="162" t="s">
        <v>8</v>
      </c>
      <c r="G132" s="163" t="s">
        <v>342</v>
      </c>
      <c r="H132" s="163" t="s">
        <v>112</v>
      </c>
      <c r="I132" s="78" t="s">
        <v>257</v>
      </c>
      <c r="J132" s="209" t="s">
        <v>248</v>
      </c>
      <c r="K132" s="209" t="s">
        <v>258</v>
      </c>
      <c r="L132" s="158">
        <v>72</v>
      </c>
      <c r="M132" s="158"/>
      <c r="N132" s="158">
        <v>72</v>
      </c>
      <c r="O132" s="158">
        <v>72</v>
      </c>
      <c r="P132" s="5"/>
      <c r="Q132" s="158">
        <v>76.6</v>
      </c>
      <c r="R132" s="158">
        <v>76.6</v>
      </c>
      <c r="S132" s="5"/>
      <c r="T132" s="158">
        <v>81.4</v>
      </c>
      <c r="U132" s="158">
        <v>81.4</v>
      </c>
      <c r="V132" s="5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</row>
    <row r="133" spans="1:80" ht="81" customHeight="1">
      <c r="A133" s="397"/>
      <c r="B133" s="191" t="s">
        <v>392</v>
      </c>
      <c r="C133" s="94"/>
      <c r="D133" s="94"/>
      <c r="E133" s="162" t="s">
        <v>21</v>
      </c>
      <c r="F133" s="162" t="s">
        <v>7</v>
      </c>
      <c r="G133" s="163" t="s">
        <v>391</v>
      </c>
      <c r="H133" s="163" t="s">
        <v>228</v>
      </c>
      <c r="I133" s="92" t="s">
        <v>128</v>
      </c>
      <c r="J133" s="233" t="s">
        <v>129</v>
      </c>
      <c r="K133" s="215" t="s">
        <v>130</v>
      </c>
      <c r="L133" s="158">
        <v>765.4</v>
      </c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</row>
    <row r="134" spans="1:80" ht="128.25" customHeight="1">
      <c r="A134" s="73"/>
      <c r="B134" s="190" t="s">
        <v>346</v>
      </c>
      <c r="C134" s="159"/>
      <c r="D134" s="159"/>
      <c r="E134" s="108" t="s">
        <v>41</v>
      </c>
      <c r="F134" s="108" t="s">
        <v>3</v>
      </c>
      <c r="G134" s="108" t="s">
        <v>345</v>
      </c>
      <c r="H134" s="108" t="s">
        <v>112</v>
      </c>
      <c r="I134" s="134" t="s">
        <v>259</v>
      </c>
      <c r="J134" s="209" t="s">
        <v>158</v>
      </c>
      <c r="K134" s="209" t="s">
        <v>254</v>
      </c>
      <c r="L134" s="158">
        <v>20</v>
      </c>
      <c r="M134" s="158"/>
      <c r="N134" s="158">
        <v>20</v>
      </c>
      <c r="O134" s="158">
        <v>20</v>
      </c>
      <c r="P134" s="158"/>
      <c r="Q134" s="158">
        <v>21.3</v>
      </c>
      <c r="R134" s="158">
        <v>21.3</v>
      </c>
      <c r="S134" s="158"/>
      <c r="T134" s="158">
        <v>22.6</v>
      </c>
      <c r="U134" s="158">
        <v>22.6</v>
      </c>
      <c r="V134" s="158"/>
      <c r="W134" s="352"/>
      <c r="X134" s="352"/>
      <c r="Y134" s="352"/>
      <c r="Z134" s="352"/>
      <c r="AA134" s="352"/>
      <c r="AB134" s="352"/>
      <c r="AC134" s="352"/>
      <c r="AD134" s="352"/>
      <c r="AE134" s="352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</row>
    <row r="135" spans="1:80" ht="15.75">
      <c r="A135" s="398"/>
      <c r="B135" s="398"/>
      <c r="C135" s="398"/>
      <c r="D135" s="398"/>
      <c r="E135" s="398"/>
      <c r="F135" s="398"/>
      <c r="G135" s="398"/>
      <c r="H135" s="398"/>
      <c r="I135" s="398"/>
      <c r="J135" s="357"/>
      <c r="K135" s="358"/>
      <c r="L135" s="399"/>
      <c r="M135" s="399"/>
      <c r="N135" s="400"/>
      <c r="O135" s="400"/>
      <c r="P135" s="400"/>
      <c r="Q135" s="400"/>
      <c r="R135" s="400"/>
      <c r="S135" s="400"/>
      <c r="T135" s="400"/>
      <c r="U135" s="400"/>
      <c r="V135" s="400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</row>
    <row r="136" spans="1:80" ht="15.75">
      <c r="A136" s="401"/>
      <c r="B136" s="401"/>
      <c r="C136" s="401"/>
      <c r="D136" s="401"/>
      <c r="E136" s="401"/>
      <c r="F136" s="401"/>
      <c r="G136" s="401"/>
      <c r="H136" s="401"/>
      <c r="I136" s="401"/>
      <c r="J136" s="357"/>
      <c r="K136" s="358"/>
      <c r="L136" s="399"/>
      <c r="M136" s="399"/>
      <c r="N136" s="400"/>
      <c r="O136" s="400"/>
      <c r="P136" s="400"/>
      <c r="Q136" s="400"/>
      <c r="R136" s="400"/>
      <c r="S136" s="400"/>
      <c r="T136" s="400"/>
      <c r="U136" s="400"/>
      <c r="V136" s="400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</row>
    <row r="137" spans="1:80" ht="13.5" customHeight="1">
      <c r="A137" s="402" t="s">
        <v>260</v>
      </c>
      <c r="B137" s="402"/>
      <c r="C137" s="402"/>
      <c r="D137" s="402"/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</row>
    <row r="138" spans="1:80" ht="12.75">
      <c r="A138" s="256" t="s">
        <v>58</v>
      </c>
      <c r="B138" s="252" t="s">
        <v>59</v>
      </c>
      <c r="C138" s="252" t="s">
        <v>60</v>
      </c>
      <c r="D138" s="252" t="s">
        <v>61</v>
      </c>
      <c r="E138" s="360" t="s">
        <v>62</v>
      </c>
      <c r="F138" s="361"/>
      <c r="G138" s="361"/>
      <c r="H138" s="361"/>
      <c r="I138" s="253" t="s">
        <v>63</v>
      </c>
      <c r="J138" s="261" t="s">
        <v>64</v>
      </c>
      <c r="K138" s="261" t="s">
        <v>65</v>
      </c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</row>
    <row r="139" spans="1:80" ht="12.75">
      <c r="A139" s="256"/>
      <c r="B139" s="252"/>
      <c r="C139" s="252"/>
      <c r="D139" s="252"/>
      <c r="E139" s="256" t="s">
        <v>66</v>
      </c>
      <c r="F139" s="256" t="s">
        <v>67</v>
      </c>
      <c r="G139" s="256" t="s">
        <v>68</v>
      </c>
      <c r="H139" s="256" t="s">
        <v>69</v>
      </c>
      <c r="I139" s="253"/>
      <c r="J139" s="261"/>
      <c r="K139" s="261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</row>
    <row r="140" spans="1:80" ht="12.75">
      <c r="A140" s="256"/>
      <c r="B140" s="252"/>
      <c r="C140" s="252"/>
      <c r="D140" s="252"/>
      <c r="E140" s="256"/>
      <c r="F140" s="256"/>
      <c r="G140" s="256"/>
      <c r="H140" s="256"/>
      <c r="I140" s="253"/>
      <c r="J140" s="261"/>
      <c r="K140" s="261"/>
      <c r="L140" s="254" t="s">
        <v>261</v>
      </c>
      <c r="M140" s="254" t="s">
        <v>262</v>
      </c>
      <c r="N140" s="254" t="s">
        <v>263</v>
      </c>
      <c r="O140" s="254"/>
      <c r="P140" s="254"/>
      <c r="Q140" s="254" t="s">
        <v>24</v>
      </c>
      <c r="R140" s="254"/>
      <c r="S140" s="254"/>
      <c r="T140" s="254" t="s">
        <v>31</v>
      </c>
      <c r="U140" s="254"/>
      <c r="V140" s="25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</row>
    <row r="141" spans="1:80" ht="39" customHeight="1">
      <c r="A141" s="256"/>
      <c r="B141" s="252"/>
      <c r="C141" s="252"/>
      <c r="D141" s="252"/>
      <c r="E141" s="256"/>
      <c r="F141" s="256"/>
      <c r="G141" s="256"/>
      <c r="H141" s="256"/>
      <c r="I141" s="253"/>
      <c r="J141" s="261"/>
      <c r="K141" s="261"/>
      <c r="L141" s="254"/>
      <c r="M141" s="254"/>
      <c r="N141" s="63" t="s">
        <v>70</v>
      </c>
      <c r="O141" s="64" t="s">
        <v>71</v>
      </c>
      <c r="P141" s="64" t="s">
        <v>72</v>
      </c>
      <c r="Q141" s="64" t="s">
        <v>70</v>
      </c>
      <c r="R141" s="64" t="s">
        <v>71</v>
      </c>
      <c r="S141" s="64" t="s">
        <v>72</v>
      </c>
      <c r="T141" s="64" t="s">
        <v>70</v>
      </c>
      <c r="U141" s="64" t="s">
        <v>71</v>
      </c>
      <c r="V141" s="64" t="s">
        <v>72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</row>
    <row r="142" spans="1:80" ht="12.75">
      <c r="A142" s="62" t="s">
        <v>73</v>
      </c>
      <c r="B142" s="61">
        <v>2</v>
      </c>
      <c r="C142" s="61">
        <v>3</v>
      </c>
      <c r="D142" s="61">
        <v>4</v>
      </c>
      <c r="E142" s="62" t="s">
        <v>74</v>
      </c>
      <c r="F142" s="62" t="s">
        <v>75</v>
      </c>
      <c r="G142" s="62" t="s">
        <v>76</v>
      </c>
      <c r="H142" s="62" t="s">
        <v>77</v>
      </c>
      <c r="I142" s="62" t="s">
        <v>78</v>
      </c>
      <c r="J142" s="205" t="s">
        <v>41</v>
      </c>
      <c r="K142" s="205" t="s">
        <v>21</v>
      </c>
      <c r="L142" s="63">
        <v>12</v>
      </c>
      <c r="M142" s="63">
        <v>13</v>
      </c>
      <c r="N142" s="257">
        <v>14</v>
      </c>
      <c r="O142" s="257"/>
      <c r="P142" s="257"/>
      <c r="Q142" s="257">
        <v>15</v>
      </c>
      <c r="R142" s="257"/>
      <c r="S142" s="257"/>
      <c r="T142" s="257">
        <v>16</v>
      </c>
      <c r="U142" s="257"/>
      <c r="V142" s="25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</row>
    <row r="143" spans="1:80" ht="12.75" customHeight="1">
      <c r="A143" s="258" t="s">
        <v>79</v>
      </c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171">
        <f aca="true" t="shared" si="37" ref="L143:V143">SUM(L144+L169+L159+L148)</f>
        <v>106053.1</v>
      </c>
      <c r="M143" s="171">
        <f t="shared" si="37"/>
        <v>0</v>
      </c>
      <c r="N143" s="171">
        <f t="shared" si="37"/>
        <v>104763.69999999998</v>
      </c>
      <c r="O143" s="171">
        <f t="shared" si="37"/>
        <v>104763.69999999998</v>
      </c>
      <c r="P143" s="171">
        <f t="shared" si="37"/>
        <v>0</v>
      </c>
      <c r="Q143" s="171">
        <f t="shared" si="37"/>
        <v>107806.19999999998</v>
      </c>
      <c r="R143" s="171">
        <f t="shared" si="37"/>
        <v>107806.19999999998</v>
      </c>
      <c r="S143" s="171">
        <f t="shared" si="37"/>
        <v>0</v>
      </c>
      <c r="T143" s="171">
        <f t="shared" si="37"/>
        <v>110942.09999999999</v>
      </c>
      <c r="U143" s="171">
        <f t="shared" si="37"/>
        <v>110942.09999999999</v>
      </c>
      <c r="V143" s="171">
        <f t="shared" si="37"/>
        <v>0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</row>
    <row r="144" spans="1:80" ht="12.75">
      <c r="A144" s="165" t="s">
        <v>1</v>
      </c>
      <c r="B144" s="255" t="s">
        <v>80</v>
      </c>
      <c r="C144" s="255"/>
      <c r="D144" s="255"/>
      <c r="E144" s="255"/>
      <c r="F144" s="255"/>
      <c r="G144" s="255"/>
      <c r="H144" s="255"/>
      <c r="I144" s="255"/>
      <c r="J144" s="206"/>
      <c r="K144" s="206"/>
      <c r="L144" s="66">
        <f>SUM(L145)</f>
        <v>11552.4</v>
      </c>
      <c r="M144" s="66">
        <f aca="true" t="shared" si="38" ref="M144:U144">SUM(M145)</f>
        <v>0</v>
      </c>
      <c r="N144" s="66">
        <f t="shared" si="38"/>
        <v>4442.1</v>
      </c>
      <c r="O144" s="66">
        <f t="shared" si="38"/>
        <v>4442.1</v>
      </c>
      <c r="P144" s="66">
        <f t="shared" si="38"/>
        <v>0</v>
      </c>
      <c r="Q144" s="66">
        <f t="shared" si="38"/>
        <v>4726.4</v>
      </c>
      <c r="R144" s="66">
        <f t="shared" si="38"/>
        <v>4726.4</v>
      </c>
      <c r="S144" s="66"/>
      <c r="T144" s="66">
        <f t="shared" si="38"/>
        <v>5019.4</v>
      </c>
      <c r="U144" s="66">
        <f t="shared" si="38"/>
        <v>5019.4</v>
      </c>
      <c r="V144" s="66"/>
      <c r="W144" s="347"/>
      <c r="X144" s="347"/>
      <c r="Y144" s="347"/>
      <c r="Z144" s="347"/>
      <c r="AA144" s="347"/>
      <c r="AB144" s="347"/>
      <c r="AC144" s="347"/>
      <c r="AD144" s="347"/>
      <c r="AE144" s="347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</row>
    <row r="145" spans="1:80" ht="12.75">
      <c r="A145" s="103">
        <v>2</v>
      </c>
      <c r="B145" s="103" t="s">
        <v>50</v>
      </c>
      <c r="C145" s="103"/>
      <c r="D145" s="103"/>
      <c r="E145" s="70"/>
      <c r="F145" s="70"/>
      <c r="G145" s="70"/>
      <c r="H145" s="70"/>
      <c r="I145" s="105"/>
      <c r="J145" s="217"/>
      <c r="K145" s="217"/>
      <c r="L145" s="106">
        <f>SUM(L146:L147)</f>
        <v>11552.4</v>
      </c>
      <c r="M145" s="106">
        <f>SUM(M146:M147)</f>
        <v>0</v>
      </c>
      <c r="N145" s="106">
        <f>SUM(N146:N147)</f>
        <v>4442.1</v>
      </c>
      <c r="O145" s="106">
        <f aca="true" t="shared" si="39" ref="O145:U145">SUM(O146:O147)</f>
        <v>4442.1</v>
      </c>
      <c r="P145" s="106">
        <f t="shared" si="39"/>
        <v>0</v>
      </c>
      <c r="Q145" s="106">
        <f t="shared" si="39"/>
        <v>4726.4</v>
      </c>
      <c r="R145" s="106">
        <f t="shared" si="39"/>
        <v>4726.4</v>
      </c>
      <c r="S145" s="106">
        <f t="shared" si="39"/>
        <v>0</v>
      </c>
      <c r="T145" s="106">
        <f t="shared" si="39"/>
        <v>5019.4</v>
      </c>
      <c r="U145" s="106">
        <f t="shared" si="39"/>
        <v>5019.4</v>
      </c>
      <c r="V145" s="106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</row>
    <row r="146" spans="1:80" ht="338.25" customHeight="1">
      <c r="A146" s="74" t="s">
        <v>168</v>
      </c>
      <c r="B146" s="74" t="s">
        <v>264</v>
      </c>
      <c r="C146" s="74"/>
      <c r="D146" s="74"/>
      <c r="E146" s="76" t="s">
        <v>7</v>
      </c>
      <c r="F146" s="76" t="s">
        <v>4</v>
      </c>
      <c r="G146" s="76" t="s">
        <v>552</v>
      </c>
      <c r="H146" s="76" t="s">
        <v>265</v>
      </c>
      <c r="I146" s="238" t="s">
        <v>524</v>
      </c>
      <c r="J146" s="209" t="s">
        <v>266</v>
      </c>
      <c r="K146" s="209" t="s">
        <v>267</v>
      </c>
      <c r="L146" s="111">
        <v>617.4</v>
      </c>
      <c r="M146" s="111"/>
      <c r="N146" s="111">
        <v>613.5</v>
      </c>
      <c r="O146" s="111">
        <v>613.5</v>
      </c>
      <c r="P146" s="111"/>
      <c r="Q146" s="111">
        <v>652.8</v>
      </c>
      <c r="R146" s="111">
        <v>652.8</v>
      </c>
      <c r="S146" s="111"/>
      <c r="T146" s="111">
        <v>693.2</v>
      </c>
      <c r="U146" s="111">
        <v>693.2</v>
      </c>
      <c r="V146" s="111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</row>
    <row r="147" spans="1:80" ht="259.5" customHeight="1">
      <c r="A147" s="74"/>
      <c r="B147" s="194" t="s">
        <v>56</v>
      </c>
      <c r="C147" s="74"/>
      <c r="D147" s="74"/>
      <c r="E147" s="162" t="s">
        <v>41</v>
      </c>
      <c r="F147" s="162" t="s">
        <v>4</v>
      </c>
      <c r="G147" s="77" t="s">
        <v>53</v>
      </c>
      <c r="H147" s="77" t="s">
        <v>127</v>
      </c>
      <c r="I147" s="164" t="s">
        <v>527</v>
      </c>
      <c r="J147" s="224" t="s">
        <v>525</v>
      </c>
      <c r="K147" s="224" t="s">
        <v>526</v>
      </c>
      <c r="L147" s="111">
        <v>10935</v>
      </c>
      <c r="M147" s="111"/>
      <c r="N147" s="111">
        <v>3828.6</v>
      </c>
      <c r="O147" s="111">
        <v>3828.6</v>
      </c>
      <c r="P147" s="111"/>
      <c r="Q147" s="111">
        <v>4073.6</v>
      </c>
      <c r="R147" s="111">
        <v>4073.6</v>
      </c>
      <c r="S147" s="111"/>
      <c r="T147" s="111">
        <v>4326.2</v>
      </c>
      <c r="U147" s="111">
        <v>4326.2</v>
      </c>
      <c r="V147" s="111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</row>
    <row r="148" spans="1:80" ht="22.5">
      <c r="A148" s="165" t="s">
        <v>19</v>
      </c>
      <c r="B148" s="250" t="s">
        <v>12</v>
      </c>
      <c r="C148" s="250"/>
      <c r="D148" s="250"/>
      <c r="E148" s="250"/>
      <c r="F148" s="250"/>
      <c r="G148" s="250"/>
      <c r="H148" s="250"/>
      <c r="I148" s="250"/>
      <c r="J148" s="226"/>
      <c r="K148" s="220"/>
      <c r="L148" s="127">
        <f aca="true" t="shared" si="40" ref="L148:Q148">SUM(L149)+L199</f>
        <v>70511.7</v>
      </c>
      <c r="M148" s="127">
        <f t="shared" si="40"/>
        <v>0</v>
      </c>
      <c r="N148" s="127">
        <f t="shared" si="40"/>
        <v>75263.79999999999</v>
      </c>
      <c r="O148" s="127">
        <f t="shared" si="40"/>
        <v>75263.79999999999</v>
      </c>
      <c r="P148" s="127">
        <f t="shared" si="40"/>
        <v>0</v>
      </c>
      <c r="Q148" s="127">
        <f t="shared" si="40"/>
        <v>76667.7</v>
      </c>
      <c r="R148" s="127">
        <f>SUM(R149+R199)</f>
        <v>76667.7</v>
      </c>
      <c r="S148" s="127">
        <f>SUM(S149+S199)</f>
        <v>0</v>
      </c>
      <c r="T148" s="127">
        <f>SUM(T149+T199)</f>
        <v>78114.9</v>
      </c>
      <c r="U148" s="127">
        <f>SUM(U149+U199)</f>
        <v>78114.9</v>
      </c>
      <c r="V148" s="127">
        <f>SUM(V149+V199)</f>
        <v>0</v>
      </c>
      <c r="W148" s="347"/>
      <c r="X148" s="347"/>
      <c r="Y148" s="347"/>
      <c r="Z148" s="347"/>
      <c r="AA148" s="347"/>
      <c r="AB148" s="347"/>
      <c r="AC148" s="347"/>
      <c r="AD148" s="347"/>
      <c r="AE148" s="347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</row>
    <row r="149" spans="1:80" ht="12.75">
      <c r="A149" s="103" t="s">
        <v>268</v>
      </c>
      <c r="B149" s="103" t="s">
        <v>50</v>
      </c>
      <c r="C149" s="103"/>
      <c r="D149" s="103"/>
      <c r="E149" s="70"/>
      <c r="F149" s="70"/>
      <c r="G149" s="70"/>
      <c r="H149" s="70"/>
      <c r="I149" s="105"/>
      <c r="J149" s="217"/>
      <c r="K149" s="217"/>
      <c r="L149" s="106">
        <f>SUM(L150:L157)</f>
        <v>70511.7</v>
      </c>
      <c r="M149" s="106">
        <f aca="true" t="shared" si="41" ref="M149:V149">SUM(M150:M156)</f>
        <v>0</v>
      </c>
      <c r="N149" s="106">
        <f t="shared" si="41"/>
        <v>75263.79999999999</v>
      </c>
      <c r="O149" s="106">
        <f t="shared" si="41"/>
        <v>75263.79999999999</v>
      </c>
      <c r="P149" s="106">
        <f t="shared" si="41"/>
        <v>0</v>
      </c>
      <c r="Q149" s="106">
        <f t="shared" si="41"/>
        <v>76667.7</v>
      </c>
      <c r="R149" s="106">
        <f t="shared" si="41"/>
        <v>76667.7</v>
      </c>
      <c r="S149" s="106">
        <f t="shared" si="41"/>
        <v>0</v>
      </c>
      <c r="T149" s="106">
        <f t="shared" si="41"/>
        <v>78114.9</v>
      </c>
      <c r="U149" s="106">
        <f t="shared" si="41"/>
        <v>78114.9</v>
      </c>
      <c r="V149" s="106">
        <f t="shared" si="41"/>
        <v>0</v>
      </c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</row>
    <row r="150" spans="1:80" ht="325.5">
      <c r="A150" s="142" t="s">
        <v>168</v>
      </c>
      <c r="B150" s="94" t="s">
        <v>269</v>
      </c>
      <c r="C150" s="78"/>
      <c r="D150" s="78"/>
      <c r="E150" s="143" t="s">
        <v>10</v>
      </c>
      <c r="F150" s="143" t="s">
        <v>2</v>
      </c>
      <c r="G150" s="143" t="s">
        <v>348</v>
      </c>
      <c r="H150" s="143" t="s">
        <v>34</v>
      </c>
      <c r="I150" s="239" t="s">
        <v>270</v>
      </c>
      <c r="J150" s="209" t="s">
        <v>271</v>
      </c>
      <c r="K150" s="209" t="s">
        <v>272</v>
      </c>
      <c r="L150" s="166">
        <v>102.8</v>
      </c>
      <c r="M150" s="166"/>
      <c r="N150" s="166">
        <v>102.8</v>
      </c>
      <c r="O150" s="166">
        <v>102.8</v>
      </c>
      <c r="P150" s="166"/>
      <c r="Q150" s="166">
        <v>106.1</v>
      </c>
      <c r="R150" s="166">
        <v>106.1</v>
      </c>
      <c r="S150" s="166"/>
      <c r="T150" s="166">
        <v>109.4</v>
      </c>
      <c r="U150" s="166">
        <v>109.4</v>
      </c>
      <c r="V150" s="166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</row>
    <row r="151" spans="1:80" ht="325.5">
      <c r="A151" s="142"/>
      <c r="B151" s="94" t="s">
        <v>273</v>
      </c>
      <c r="C151" s="78"/>
      <c r="D151" s="78"/>
      <c r="E151" s="143" t="s">
        <v>10</v>
      </c>
      <c r="F151" s="143" t="s">
        <v>7</v>
      </c>
      <c r="G151" s="143" t="s">
        <v>348</v>
      </c>
      <c r="H151" s="143" t="s">
        <v>34</v>
      </c>
      <c r="I151" s="239" t="s">
        <v>270</v>
      </c>
      <c r="J151" s="209" t="s">
        <v>271</v>
      </c>
      <c r="K151" s="209" t="s">
        <v>272</v>
      </c>
      <c r="L151" s="166">
        <v>61317.2</v>
      </c>
      <c r="M151" s="166"/>
      <c r="N151" s="166">
        <v>71968.7</v>
      </c>
      <c r="O151" s="166">
        <v>71968.7</v>
      </c>
      <c r="P151" s="166"/>
      <c r="Q151" s="166">
        <v>73260.8</v>
      </c>
      <c r="R151" s="166">
        <v>73260.8</v>
      </c>
      <c r="S151" s="166"/>
      <c r="T151" s="166">
        <v>74592.5</v>
      </c>
      <c r="U151" s="166">
        <v>74592.5</v>
      </c>
      <c r="V151" s="166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</row>
    <row r="152" spans="1:80" ht="347.25" customHeight="1">
      <c r="A152" s="142"/>
      <c r="B152" s="94" t="s">
        <v>38</v>
      </c>
      <c r="C152" s="78"/>
      <c r="D152" s="78"/>
      <c r="E152" s="143" t="s">
        <v>10</v>
      </c>
      <c r="F152" s="143" t="s">
        <v>7</v>
      </c>
      <c r="G152" s="143" t="s">
        <v>528</v>
      </c>
      <c r="H152" s="143" t="s">
        <v>34</v>
      </c>
      <c r="I152" s="240" t="s">
        <v>274</v>
      </c>
      <c r="J152" s="228" t="s">
        <v>275</v>
      </c>
      <c r="K152" s="228" t="s">
        <v>232</v>
      </c>
      <c r="L152" s="166">
        <v>948.5</v>
      </c>
      <c r="M152" s="166"/>
      <c r="N152" s="166">
        <v>906.2</v>
      </c>
      <c r="O152" s="166">
        <v>906.2</v>
      </c>
      <c r="P152" s="166"/>
      <c r="Q152" s="166">
        <v>906.2</v>
      </c>
      <c r="R152" s="166">
        <v>906.2</v>
      </c>
      <c r="S152" s="166"/>
      <c r="T152" s="166">
        <v>906.2</v>
      </c>
      <c r="U152" s="166">
        <v>906.2</v>
      </c>
      <c r="V152" s="166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</row>
    <row r="153" spans="1:80" ht="285.75" customHeight="1">
      <c r="A153" s="142"/>
      <c r="B153" s="94" t="s">
        <v>276</v>
      </c>
      <c r="C153" s="78"/>
      <c r="D153" s="78"/>
      <c r="E153" s="143" t="s">
        <v>277</v>
      </c>
      <c r="F153" s="143" t="s">
        <v>220</v>
      </c>
      <c r="G153" s="143" t="s">
        <v>349</v>
      </c>
      <c r="H153" s="143" t="s">
        <v>278</v>
      </c>
      <c r="I153" s="203" t="s">
        <v>217</v>
      </c>
      <c r="J153" s="209" t="s">
        <v>218</v>
      </c>
      <c r="K153" s="209" t="s">
        <v>219</v>
      </c>
      <c r="L153" s="166">
        <v>250</v>
      </c>
      <c r="M153" s="166"/>
      <c r="N153" s="166">
        <v>250</v>
      </c>
      <c r="O153" s="166">
        <v>250</v>
      </c>
      <c r="P153" s="166"/>
      <c r="Q153" s="166">
        <v>265.2</v>
      </c>
      <c r="R153" s="166">
        <v>265.2</v>
      </c>
      <c r="S153" s="166"/>
      <c r="T153" s="166">
        <v>280.9</v>
      </c>
      <c r="U153" s="166">
        <v>280.9</v>
      </c>
      <c r="V153" s="166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</row>
    <row r="154" spans="1:80" ht="150.75" customHeight="1">
      <c r="A154" s="142"/>
      <c r="B154" s="94" t="s">
        <v>28</v>
      </c>
      <c r="C154" s="78"/>
      <c r="D154" s="78"/>
      <c r="E154" s="143" t="s">
        <v>279</v>
      </c>
      <c r="F154" s="143" t="s">
        <v>280</v>
      </c>
      <c r="G154" s="143" t="s">
        <v>577</v>
      </c>
      <c r="H154" s="143" t="s">
        <v>576</v>
      </c>
      <c r="I154" s="167" t="s">
        <v>281</v>
      </c>
      <c r="J154" s="228" t="s">
        <v>282</v>
      </c>
      <c r="K154" s="228" t="s">
        <v>107</v>
      </c>
      <c r="L154" s="166">
        <v>359.9</v>
      </c>
      <c r="M154" s="166"/>
      <c r="N154" s="166">
        <v>378</v>
      </c>
      <c r="O154" s="166">
        <v>378</v>
      </c>
      <c r="P154" s="166"/>
      <c r="Q154" s="166">
        <v>384.6</v>
      </c>
      <c r="R154" s="166">
        <v>384.6</v>
      </c>
      <c r="S154" s="166"/>
      <c r="T154" s="166">
        <v>391.5</v>
      </c>
      <c r="U154" s="166">
        <v>391.5</v>
      </c>
      <c r="V154" s="166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</row>
    <row r="155" spans="1:80" ht="201.75" customHeight="1">
      <c r="A155" s="142"/>
      <c r="B155" s="94" t="s">
        <v>283</v>
      </c>
      <c r="C155" s="78"/>
      <c r="D155" s="78"/>
      <c r="E155" s="143" t="s">
        <v>284</v>
      </c>
      <c r="F155" s="143" t="s">
        <v>285</v>
      </c>
      <c r="G155" s="143" t="s">
        <v>393</v>
      </c>
      <c r="H155" s="143" t="s">
        <v>286</v>
      </c>
      <c r="I155" s="167" t="s">
        <v>287</v>
      </c>
      <c r="J155" s="228" t="s">
        <v>159</v>
      </c>
      <c r="K155" s="228" t="s">
        <v>107</v>
      </c>
      <c r="L155" s="166">
        <v>325.6</v>
      </c>
      <c r="M155" s="166"/>
      <c r="N155" s="166">
        <v>341.4</v>
      </c>
      <c r="O155" s="166">
        <v>341.4</v>
      </c>
      <c r="P155" s="166"/>
      <c r="Q155" s="166">
        <v>343.9</v>
      </c>
      <c r="R155" s="166">
        <v>343.9</v>
      </c>
      <c r="S155" s="166"/>
      <c r="T155" s="166">
        <v>346.6</v>
      </c>
      <c r="U155" s="166">
        <v>346.6</v>
      </c>
      <c r="V155" s="166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</row>
    <row r="156" spans="1:80" ht="180.75" customHeight="1">
      <c r="A156" s="142"/>
      <c r="B156" s="94" t="s">
        <v>14</v>
      </c>
      <c r="C156" s="78"/>
      <c r="D156" s="78"/>
      <c r="E156" s="143" t="s">
        <v>288</v>
      </c>
      <c r="F156" s="143" t="s">
        <v>289</v>
      </c>
      <c r="G156" s="143" t="s">
        <v>394</v>
      </c>
      <c r="H156" s="143" t="s">
        <v>290</v>
      </c>
      <c r="I156" s="240" t="s">
        <v>529</v>
      </c>
      <c r="J156" s="228" t="s">
        <v>282</v>
      </c>
      <c r="K156" s="228" t="s">
        <v>107</v>
      </c>
      <c r="L156" s="166">
        <v>1075.9</v>
      </c>
      <c r="M156" s="166"/>
      <c r="N156" s="166">
        <v>1316.7</v>
      </c>
      <c r="O156" s="166">
        <v>1316.7</v>
      </c>
      <c r="P156" s="166"/>
      <c r="Q156" s="166">
        <v>1400.9</v>
      </c>
      <c r="R156" s="166">
        <v>1400.9</v>
      </c>
      <c r="S156" s="166"/>
      <c r="T156" s="166">
        <v>1487.8</v>
      </c>
      <c r="U156" s="166">
        <v>1487.8</v>
      </c>
      <c r="V156" s="166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</row>
    <row r="157" spans="1:80" ht="120" customHeight="1">
      <c r="A157" s="142"/>
      <c r="B157" s="94" t="s">
        <v>644</v>
      </c>
      <c r="C157" s="78"/>
      <c r="D157" s="78"/>
      <c r="E157" s="143" t="s">
        <v>10</v>
      </c>
      <c r="F157" s="143" t="s">
        <v>7</v>
      </c>
      <c r="G157" s="143" t="s">
        <v>643</v>
      </c>
      <c r="H157" s="143" t="s">
        <v>33</v>
      </c>
      <c r="I157" s="240" t="s">
        <v>645</v>
      </c>
      <c r="J157" s="228" t="s">
        <v>646</v>
      </c>
      <c r="K157" s="228" t="s">
        <v>107</v>
      </c>
      <c r="L157" s="166">
        <v>6131.8</v>
      </c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</row>
    <row r="158" spans="1:80" ht="12.75">
      <c r="A158" s="103" t="s">
        <v>268</v>
      </c>
      <c r="B158" s="103" t="s">
        <v>50</v>
      </c>
      <c r="C158" s="103"/>
      <c r="D158" s="103"/>
      <c r="E158" s="70"/>
      <c r="F158" s="70"/>
      <c r="G158" s="70"/>
      <c r="H158" s="70"/>
      <c r="I158" s="105"/>
      <c r="J158" s="217"/>
      <c r="K158" s="217"/>
      <c r="L158" s="200">
        <f>SUM(L159)</f>
        <v>23659.4</v>
      </c>
      <c r="M158" s="200">
        <f aca="true" t="shared" si="42" ref="M158:V158">SUM(M159)</f>
        <v>0</v>
      </c>
      <c r="N158" s="200">
        <f t="shared" si="42"/>
        <v>24715.6</v>
      </c>
      <c r="O158" s="200">
        <f t="shared" si="42"/>
        <v>24715.6</v>
      </c>
      <c r="P158" s="200">
        <f t="shared" si="42"/>
        <v>0</v>
      </c>
      <c r="Q158" s="200">
        <f t="shared" si="42"/>
        <v>26067.399999999994</v>
      </c>
      <c r="R158" s="200">
        <f t="shared" si="42"/>
        <v>26067.399999999994</v>
      </c>
      <c r="S158" s="200">
        <f t="shared" si="42"/>
        <v>0</v>
      </c>
      <c r="T158" s="200">
        <f t="shared" si="42"/>
        <v>27460.4</v>
      </c>
      <c r="U158" s="200">
        <f t="shared" si="42"/>
        <v>27460.4</v>
      </c>
      <c r="V158" s="200">
        <f t="shared" si="42"/>
        <v>0</v>
      </c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</row>
    <row r="159" spans="1:80" ht="12.75">
      <c r="A159" s="168" t="s">
        <v>20</v>
      </c>
      <c r="B159" s="260" t="s">
        <v>222</v>
      </c>
      <c r="C159" s="260"/>
      <c r="D159" s="260"/>
      <c r="E159" s="260"/>
      <c r="F159" s="260"/>
      <c r="G159" s="260"/>
      <c r="H159" s="260"/>
      <c r="I159" s="260"/>
      <c r="J159" s="260"/>
      <c r="K159" s="229"/>
      <c r="L159" s="169">
        <f aca="true" t="shared" si="43" ref="L159:Q159">SUM(L160:L167)</f>
        <v>23659.4</v>
      </c>
      <c r="M159" s="169">
        <f t="shared" si="43"/>
        <v>0</v>
      </c>
      <c r="N159" s="169">
        <f t="shared" si="43"/>
        <v>24715.6</v>
      </c>
      <c r="O159" s="169">
        <f t="shared" si="43"/>
        <v>24715.6</v>
      </c>
      <c r="P159" s="169">
        <f t="shared" si="43"/>
        <v>0</v>
      </c>
      <c r="Q159" s="169">
        <f t="shared" si="43"/>
        <v>26067.399999999994</v>
      </c>
      <c r="R159" s="169">
        <f>SUM(R160+R161+R162+R163+R164+R165+R166+R167)</f>
        <v>26067.399999999994</v>
      </c>
      <c r="S159" s="169">
        <f>SUM(S160+S161+S162+S163+S164+S165+S166+S167)</f>
        <v>0</v>
      </c>
      <c r="T159" s="169">
        <f>SUM(T160+T161+T162+T163+T164+T165+T166+T167)</f>
        <v>27460.4</v>
      </c>
      <c r="U159" s="169">
        <f>SUM(U160+U161+U162+U163+U164+U165+U166+U167)</f>
        <v>27460.4</v>
      </c>
      <c r="V159" s="169">
        <f>SUM(V160+V161+V162+V163+V164+V165+V166+V167)</f>
        <v>0</v>
      </c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</row>
    <row r="160" spans="1:80" ht="340.5" customHeight="1">
      <c r="A160" s="134" t="s">
        <v>168</v>
      </c>
      <c r="B160" s="191" t="s">
        <v>295</v>
      </c>
      <c r="C160" s="145"/>
      <c r="D160" s="145"/>
      <c r="E160" s="133" t="s">
        <v>350</v>
      </c>
      <c r="F160" s="133" t="s">
        <v>353</v>
      </c>
      <c r="G160" s="77" t="s">
        <v>351</v>
      </c>
      <c r="H160" s="77" t="s">
        <v>352</v>
      </c>
      <c r="I160" s="78" t="s">
        <v>530</v>
      </c>
      <c r="J160" s="209" t="s">
        <v>531</v>
      </c>
      <c r="K160" s="209" t="s">
        <v>532</v>
      </c>
      <c r="L160" s="107">
        <f>SUM(3185.9+1.3+483.6+0.2+5.2)</f>
        <v>3676.2</v>
      </c>
      <c r="M160" s="107"/>
      <c r="N160" s="107">
        <v>4406.2</v>
      </c>
      <c r="O160" s="107">
        <v>4406.2</v>
      </c>
      <c r="P160" s="146"/>
      <c r="Q160" s="107">
        <v>4458.2</v>
      </c>
      <c r="R160" s="107">
        <v>4458.2</v>
      </c>
      <c r="S160" s="107"/>
      <c r="T160" s="107">
        <v>4511.8</v>
      </c>
      <c r="U160" s="107">
        <v>4511.8</v>
      </c>
      <c r="V160" s="14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</row>
    <row r="161" spans="1:80" ht="303.75" customHeight="1">
      <c r="A161" s="134" t="s">
        <v>294</v>
      </c>
      <c r="B161" s="60" t="s">
        <v>356</v>
      </c>
      <c r="C161" s="170"/>
      <c r="D161" s="170"/>
      <c r="E161" s="133" t="s">
        <v>386</v>
      </c>
      <c r="F161" s="133" t="s">
        <v>395</v>
      </c>
      <c r="G161" s="77" t="s">
        <v>396</v>
      </c>
      <c r="H161" s="77" t="s">
        <v>397</v>
      </c>
      <c r="I161" s="195" t="s">
        <v>533</v>
      </c>
      <c r="J161" s="223" t="s">
        <v>534</v>
      </c>
      <c r="K161" s="223" t="s">
        <v>535</v>
      </c>
      <c r="L161" s="134">
        <f>SUM(1780.5+103.3)</f>
        <v>1883.8</v>
      </c>
      <c r="M161" s="134"/>
      <c r="N161" s="134">
        <v>101</v>
      </c>
      <c r="O161" s="134">
        <v>101</v>
      </c>
      <c r="P161" s="134"/>
      <c r="Q161" s="134">
        <v>107.5</v>
      </c>
      <c r="R161" s="134">
        <v>107.5</v>
      </c>
      <c r="S161" s="134"/>
      <c r="T161" s="134">
        <v>114.1</v>
      </c>
      <c r="U161" s="134">
        <v>114.1</v>
      </c>
      <c r="V161" s="13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</row>
    <row r="162" spans="1:80" ht="282.75" customHeight="1">
      <c r="A162" s="134"/>
      <c r="B162" s="191" t="s">
        <v>296</v>
      </c>
      <c r="C162" s="94"/>
      <c r="D162" s="94"/>
      <c r="E162" s="133" t="s">
        <v>354</v>
      </c>
      <c r="F162" s="133" t="s">
        <v>340</v>
      </c>
      <c r="G162" s="77" t="s">
        <v>399</v>
      </c>
      <c r="H162" s="77" t="s">
        <v>355</v>
      </c>
      <c r="I162" s="241" t="s">
        <v>536</v>
      </c>
      <c r="J162" s="223" t="s">
        <v>537</v>
      </c>
      <c r="K162" s="223" t="s">
        <v>538</v>
      </c>
      <c r="L162" s="134">
        <f>SUM(323.3+446.5)</f>
        <v>769.8</v>
      </c>
      <c r="M162" s="134"/>
      <c r="N162" s="134">
        <v>2620.6</v>
      </c>
      <c r="O162" s="134">
        <v>2620.6</v>
      </c>
      <c r="P162" s="134"/>
      <c r="Q162" s="134">
        <v>2788.3</v>
      </c>
      <c r="R162" s="134">
        <v>2788.3</v>
      </c>
      <c r="S162" s="134"/>
      <c r="T162" s="134">
        <v>2961.2</v>
      </c>
      <c r="U162" s="134">
        <v>2961.2</v>
      </c>
      <c r="V162" s="13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</row>
    <row r="163" spans="1:80" ht="280.5" customHeight="1">
      <c r="A163" s="5"/>
      <c r="B163" s="191" t="s">
        <v>297</v>
      </c>
      <c r="C163" s="5"/>
      <c r="D163" s="5"/>
      <c r="E163" s="133" t="s">
        <v>401</v>
      </c>
      <c r="F163" s="133" t="s">
        <v>400</v>
      </c>
      <c r="G163" s="77" t="s">
        <v>403</v>
      </c>
      <c r="H163" s="77" t="s">
        <v>402</v>
      </c>
      <c r="I163" s="241" t="s">
        <v>536</v>
      </c>
      <c r="J163" s="223" t="s">
        <v>537</v>
      </c>
      <c r="K163" s="223" t="s">
        <v>538</v>
      </c>
      <c r="L163" s="144">
        <f>SUM(405.1+393.2)</f>
        <v>798.3</v>
      </c>
      <c r="M163" s="144"/>
      <c r="N163" s="144">
        <v>886.7</v>
      </c>
      <c r="O163" s="144">
        <v>886.7</v>
      </c>
      <c r="P163" s="150"/>
      <c r="Q163" s="150">
        <v>943.4</v>
      </c>
      <c r="R163" s="150">
        <v>943.4</v>
      </c>
      <c r="S163" s="150"/>
      <c r="T163" s="150">
        <v>1001.9</v>
      </c>
      <c r="U163" s="150">
        <v>1001.9</v>
      </c>
      <c r="V163" s="150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</row>
    <row r="164" spans="1:80" ht="269.25" customHeight="1">
      <c r="A164" s="5"/>
      <c r="B164" s="191" t="s">
        <v>357</v>
      </c>
      <c r="C164" s="5"/>
      <c r="D164" s="5"/>
      <c r="E164" s="133" t="s">
        <v>327</v>
      </c>
      <c r="F164" s="133" t="s">
        <v>328</v>
      </c>
      <c r="G164" s="77" t="s">
        <v>358</v>
      </c>
      <c r="H164" s="77" t="s">
        <v>359</v>
      </c>
      <c r="I164" s="149" t="s">
        <v>536</v>
      </c>
      <c r="J164" s="223" t="s">
        <v>537</v>
      </c>
      <c r="K164" s="223" t="s">
        <v>538</v>
      </c>
      <c r="L164" s="144">
        <f>SUM(484.5+198)</f>
        <v>682.5</v>
      </c>
      <c r="M164" s="144"/>
      <c r="N164" s="144">
        <v>1191.1</v>
      </c>
      <c r="O164" s="144">
        <v>1191.1</v>
      </c>
      <c r="P164" s="150"/>
      <c r="Q164" s="144">
        <v>1267.3</v>
      </c>
      <c r="R164" s="144">
        <v>1267.3</v>
      </c>
      <c r="S164" s="144"/>
      <c r="T164" s="144">
        <v>1345.9</v>
      </c>
      <c r="U164" s="144">
        <v>1345.9</v>
      </c>
      <c r="V164" s="150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</row>
    <row r="165" spans="1:80" ht="270" customHeight="1">
      <c r="A165" s="5"/>
      <c r="B165" s="191" t="s">
        <v>360</v>
      </c>
      <c r="C165" s="5"/>
      <c r="D165" s="5"/>
      <c r="E165" s="133" t="s">
        <v>327</v>
      </c>
      <c r="F165" s="133" t="s">
        <v>328</v>
      </c>
      <c r="G165" s="77" t="s">
        <v>361</v>
      </c>
      <c r="H165" s="77" t="s">
        <v>359</v>
      </c>
      <c r="I165" s="149" t="s">
        <v>536</v>
      </c>
      <c r="J165" s="223" t="s">
        <v>537</v>
      </c>
      <c r="K165" s="223" t="s">
        <v>538</v>
      </c>
      <c r="L165" s="144">
        <f>SUM(15348.8)</f>
        <v>15348.8</v>
      </c>
      <c r="M165" s="144"/>
      <c r="N165" s="144">
        <v>14330.8</v>
      </c>
      <c r="O165" s="144">
        <v>14330.8</v>
      </c>
      <c r="P165" s="150"/>
      <c r="Q165" s="144">
        <v>15248</v>
      </c>
      <c r="R165" s="144">
        <v>15248</v>
      </c>
      <c r="S165" s="144"/>
      <c r="T165" s="144">
        <v>16193</v>
      </c>
      <c r="U165" s="144">
        <v>16193</v>
      </c>
      <c r="V165" s="150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</row>
    <row r="166" spans="1:80" ht="276.75" customHeight="1">
      <c r="A166" s="5"/>
      <c r="B166" s="191" t="s">
        <v>298</v>
      </c>
      <c r="C166" s="5"/>
      <c r="D166" s="5"/>
      <c r="E166" s="133" t="s">
        <v>5</v>
      </c>
      <c r="F166" s="133" t="s">
        <v>6</v>
      </c>
      <c r="G166" s="163" t="s">
        <v>404</v>
      </c>
      <c r="H166" s="163" t="s">
        <v>45</v>
      </c>
      <c r="I166" s="149" t="s">
        <v>536</v>
      </c>
      <c r="J166" s="223" t="s">
        <v>537</v>
      </c>
      <c r="K166" s="223" t="s">
        <v>538</v>
      </c>
      <c r="L166" s="144"/>
      <c r="M166" s="144"/>
      <c r="N166" s="144">
        <v>682.9</v>
      </c>
      <c r="O166" s="144">
        <v>682.9</v>
      </c>
      <c r="P166" s="150"/>
      <c r="Q166" s="144">
        <v>726.6</v>
      </c>
      <c r="R166" s="144">
        <v>726.6</v>
      </c>
      <c r="S166" s="144"/>
      <c r="T166" s="144">
        <v>771.7</v>
      </c>
      <c r="U166" s="144">
        <v>771.7</v>
      </c>
      <c r="V166" s="150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</row>
    <row r="167" spans="1:80" ht="281.25">
      <c r="A167" s="7"/>
      <c r="B167" s="59" t="s">
        <v>362</v>
      </c>
      <c r="C167" s="196"/>
      <c r="D167" s="196"/>
      <c r="E167" s="77" t="s">
        <v>354</v>
      </c>
      <c r="F167" s="77" t="s">
        <v>340</v>
      </c>
      <c r="G167" s="77" t="s">
        <v>405</v>
      </c>
      <c r="H167" s="77" t="s">
        <v>355</v>
      </c>
      <c r="I167" s="149" t="s">
        <v>536</v>
      </c>
      <c r="J167" s="223" t="s">
        <v>537</v>
      </c>
      <c r="K167" s="223" t="s">
        <v>538</v>
      </c>
      <c r="L167" s="202">
        <v>500</v>
      </c>
      <c r="M167" s="198"/>
      <c r="N167" s="199">
        <v>496.3</v>
      </c>
      <c r="O167" s="199">
        <v>496.3</v>
      </c>
      <c r="P167" s="198"/>
      <c r="Q167" s="125">
        <v>528.1</v>
      </c>
      <c r="R167" s="197" t="s">
        <v>584</v>
      </c>
      <c r="S167" s="197"/>
      <c r="T167" s="197" t="s">
        <v>585</v>
      </c>
      <c r="U167" s="197" t="s">
        <v>585</v>
      </c>
      <c r="V167" s="197"/>
      <c r="W167" s="3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</row>
    <row r="168" spans="1:80" ht="33.75">
      <c r="A168" s="165" t="s">
        <v>231</v>
      </c>
      <c r="B168" s="65" t="s">
        <v>16</v>
      </c>
      <c r="C168" s="65"/>
      <c r="D168" s="65"/>
      <c r="E168" s="65"/>
      <c r="F168" s="65"/>
      <c r="G168" s="65"/>
      <c r="H168" s="65"/>
      <c r="I168" s="65"/>
      <c r="J168" s="206"/>
      <c r="K168" s="206"/>
      <c r="L168" s="66">
        <f aca="true" t="shared" si="44" ref="L168:V168">SUM(L169)</f>
        <v>329.6</v>
      </c>
      <c r="M168" s="66">
        <f t="shared" si="44"/>
        <v>0</v>
      </c>
      <c r="N168" s="66">
        <f>SUM(N169)</f>
        <v>342.2</v>
      </c>
      <c r="O168" s="66">
        <f t="shared" si="44"/>
        <v>342.2</v>
      </c>
      <c r="P168" s="66">
        <f t="shared" si="44"/>
        <v>0</v>
      </c>
      <c r="Q168" s="66">
        <f t="shared" si="44"/>
        <v>344.7</v>
      </c>
      <c r="R168" s="66">
        <f t="shared" si="44"/>
        <v>344.7</v>
      </c>
      <c r="S168" s="66">
        <f t="shared" si="44"/>
        <v>0</v>
      </c>
      <c r="T168" s="66">
        <f t="shared" si="44"/>
        <v>347.4</v>
      </c>
      <c r="U168" s="66">
        <f t="shared" si="44"/>
        <v>347.4</v>
      </c>
      <c r="V168" s="66">
        <f t="shared" si="44"/>
        <v>0</v>
      </c>
      <c r="W168" s="347"/>
      <c r="X168" s="347"/>
      <c r="Y168" s="347"/>
      <c r="Z168" s="347"/>
      <c r="AA168" s="347"/>
      <c r="AB168" s="347"/>
      <c r="AC168" s="347"/>
      <c r="AD168" s="347"/>
      <c r="AE168" s="347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</row>
    <row r="169" spans="1:80" ht="12.75">
      <c r="A169" s="103" t="s">
        <v>268</v>
      </c>
      <c r="B169" s="103" t="s">
        <v>50</v>
      </c>
      <c r="C169" s="103"/>
      <c r="D169" s="103"/>
      <c r="E169" s="70"/>
      <c r="F169" s="70"/>
      <c r="G169" s="70"/>
      <c r="H169" s="70"/>
      <c r="I169" s="105"/>
      <c r="J169" s="217"/>
      <c r="K169" s="217"/>
      <c r="L169" s="106">
        <f aca="true" t="shared" si="45" ref="L169:V169">SUM(L170:L171)</f>
        <v>329.6</v>
      </c>
      <c r="M169" s="106">
        <f t="shared" si="45"/>
        <v>0</v>
      </c>
      <c r="N169" s="106">
        <f t="shared" si="45"/>
        <v>342.2</v>
      </c>
      <c r="O169" s="106">
        <f t="shared" si="45"/>
        <v>342.2</v>
      </c>
      <c r="P169" s="106">
        <f t="shared" si="45"/>
        <v>0</v>
      </c>
      <c r="Q169" s="106">
        <f t="shared" si="45"/>
        <v>344.7</v>
      </c>
      <c r="R169" s="106">
        <f t="shared" si="45"/>
        <v>344.7</v>
      </c>
      <c r="S169" s="106">
        <f t="shared" si="45"/>
        <v>0</v>
      </c>
      <c r="T169" s="106">
        <f t="shared" si="45"/>
        <v>347.4</v>
      </c>
      <c r="U169" s="106">
        <f t="shared" si="45"/>
        <v>347.4</v>
      </c>
      <c r="V169" s="106">
        <f t="shared" si="45"/>
        <v>0</v>
      </c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</row>
    <row r="170" spans="1:80" ht="180.75" customHeight="1">
      <c r="A170" s="74" t="s">
        <v>168</v>
      </c>
      <c r="B170" s="191" t="s">
        <v>291</v>
      </c>
      <c r="C170" s="74"/>
      <c r="D170" s="74"/>
      <c r="E170" s="162" t="s">
        <v>2</v>
      </c>
      <c r="F170" s="162" t="s">
        <v>6</v>
      </c>
      <c r="G170" s="163" t="s">
        <v>55</v>
      </c>
      <c r="H170" s="163" t="s">
        <v>33</v>
      </c>
      <c r="I170" s="164" t="s">
        <v>292</v>
      </c>
      <c r="J170" s="224" t="s">
        <v>293</v>
      </c>
      <c r="K170" s="224" t="s">
        <v>107</v>
      </c>
      <c r="L170" s="111">
        <v>4</v>
      </c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</row>
    <row r="171" spans="1:80" ht="307.5" customHeight="1">
      <c r="A171" s="74" t="s">
        <v>203</v>
      </c>
      <c r="B171" s="191" t="s">
        <v>539</v>
      </c>
      <c r="C171" s="74"/>
      <c r="D171" s="74"/>
      <c r="E171" s="162" t="s">
        <v>2</v>
      </c>
      <c r="F171" s="162" t="s">
        <v>5</v>
      </c>
      <c r="G171" s="163" t="s">
        <v>406</v>
      </c>
      <c r="H171" s="163" t="s">
        <v>40</v>
      </c>
      <c r="I171" s="164" t="s">
        <v>540</v>
      </c>
      <c r="J171" s="224" t="s">
        <v>541</v>
      </c>
      <c r="K171" s="224" t="s">
        <v>542</v>
      </c>
      <c r="L171" s="111">
        <v>325.6</v>
      </c>
      <c r="M171" s="111"/>
      <c r="N171" s="111">
        <v>342.2</v>
      </c>
      <c r="O171" s="111">
        <v>342.2</v>
      </c>
      <c r="P171" s="111"/>
      <c r="Q171" s="111">
        <v>344.7</v>
      </c>
      <c r="R171" s="111">
        <v>344.7</v>
      </c>
      <c r="S171" s="111"/>
      <c r="T171" s="111">
        <v>347.4</v>
      </c>
      <c r="U171" s="111">
        <v>347.4</v>
      </c>
      <c r="V171" s="111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</row>
    <row r="172" spans="1:80" ht="13.5">
      <c r="A172" s="6"/>
      <c r="B172" s="33"/>
      <c r="C172" s="33"/>
      <c r="D172" s="33"/>
      <c r="E172" s="33"/>
      <c r="F172" s="33"/>
      <c r="G172" s="172"/>
      <c r="H172" s="173"/>
      <c r="I172" s="173"/>
      <c r="J172" s="231"/>
      <c r="K172" s="231"/>
      <c r="L172" s="4"/>
      <c r="M172" s="4"/>
      <c r="N172" s="15"/>
      <c r="O172" s="15"/>
      <c r="Q172" s="6"/>
      <c r="R172" s="33"/>
      <c r="S172" s="33"/>
      <c r="T172" s="33"/>
      <c r="U172" s="33"/>
      <c r="V172" s="33"/>
      <c r="W172" s="3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</row>
    <row r="173" spans="1:80" ht="13.5">
      <c r="A173" s="6"/>
      <c r="B173" s="36"/>
      <c r="C173" s="33"/>
      <c r="D173" s="33"/>
      <c r="E173" s="33"/>
      <c r="F173" s="33"/>
      <c r="G173" s="172"/>
      <c r="H173" s="173"/>
      <c r="I173" s="173"/>
      <c r="J173" s="231"/>
      <c r="K173" s="231"/>
      <c r="L173" s="4"/>
      <c r="M173" s="4"/>
      <c r="N173" s="15"/>
      <c r="O173" s="15"/>
      <c r="Q173" s="6"/>
      <c r="R173" s="36"/>
      <c r="S173" s="33"/>
      <c r="T173" s="33"/>
      <c r="U173" s="33"/>
      <c r="V173" s="33"/>
      <c r="W173" s="3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</row>
    <row r="174" spans="1:80" ht="13.5">
      <c r="A174" s="41"/>
      <c r="B174" s="174"/>
      <c r="C174" s="42"/>
      <c r="D174" s="42"/>
      <c r="E174" s="42"/>
      <c r="F174" s="42"/>
      <c r="G174" s="175"/>
      <c r="H174" s="175"/>
      <c r="I174" s="175"/>
      <c r="J174" s="231"/>
      <c r="K174" s="231"/>
      <c r="L174" s="4"/>
      <c r="M174" s="4"/>
      <c r="N174" s="15"/>
      <c r="O174" s="15"/>
      <c r="Q174" s="41"/>
      <c r="R174" s="36"/>
      <c r="S174" s="42"/>
      <c r="T174" s="42"/>
      <c r="U174" s="42"/>
      <c r="V174" s="42"/>
      <c r="W174" s="43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</row>
    <row r="175" spans="1:80" ht="13.5">
      <c r="A175" s="40"/>
      <c r="B175" s="36"/>
      <c r="C175" s="44"/>
      <c r="D175" s="44"/>
      <c r="E175" s="44"/>
      <c r="F175" s="44"/>
      <c r="G175" s="177"/>
      <c r="H175" s="173"/>
      <c r="I175" s="173"/>
      <c r="J175" s="231"/>
      <c r="K175" s="231"/>
      <c r="L175" s="4"/>
      <c r="M175" s="4"/>
      <c r="N175" s="15"/>
      <c r="O175" s="15"/>
      <c r="Q175" s="40"/>
      <c r="R175" s="36"/>
      <c r="S175" s="44"/>
      <c r="T175" s="44"/>
      <c r="U175" s="44"/>
      <c r="V175" s="44"/>
      <c r="W175" s="45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</row>
    <row r="176" spans="1:80" ht="13.5">
      <c r="A176" s="6"/>
      <c r="B176" s="36"/>
      <c r="C176" s="44"/>
      <c r="D176" s="44"/>
      <c r="E176" s="44"/>
      <c r="F176" s="44"/>
      <c r="G176" s="177"/>
      <c r="H176" s="173"/>
      <c r="I176" s="173"/>
      <c r="J176" s="231"/>
      <c r="K176" s="231"/>
      <c r="L176" s="4"/>
      <c r="M176" s="4"/>
      <c r="N176" s="15"/>
      <c r="O176" s="15"/>
      <c r="Q176" s="6"/>
      <c r="R176" s="36"/>
      <c r="S176" s="44"/>
      <c r="T176" s="44"/>
      <c r="U176" s="44"/>
      <c r="V176" s="44"/>
      <c r="W176" s="45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</row>
    <row r="177" spans="1:80" ht="13.5">
      <c r="A177" s="41"/>
      <c r="B177" s="174"/>
      <c r="C177" s="42"/>
      <c r="D177" s="42"/>
      <c r="E177" s="42"/>
      <c r="F177" s="42"/>
      <c r="G177" s="175"/>
      <c r="H177" s="175"/>
      <c r="I177" s="175"/>
      <c r="J177" s="231"/>
      <c r="K177" s="231"/>
      <c r="L177" s="4"/>
      <c r="M177" s="4"/>
      <c r="N177" s="15"/>
      <c r="O177" s="15"/>
      <c r="Q177" s="41"/>
      <c r="R177" s="36"/>
      <c r="S177" s="42"/>
      <c r="T177" s="42"/>
      <c r="U177" s="42"/>
      <c r="V177" s="42"/>
      <c r="W177" s="37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</row>
    <row r="178" spans="1:80" ht="15">
      <c r="A178" s="6"/>
      <c r="B178" s="178"/>
      <c r="C178" s="33"/>
      <c r="D178" s="33"/>
      <c r="E178" s="33"/>
      <c r="F178" s="33"/>
      <c r="G178" s="172"/>
      <c r="H178" s="173"/>
      <c r="I178" s="173"/>
      <c r="J178" s="231"/>
      <c r="K178" s="231"/>
      <c r="L178" s="4"/>
      <c r="M178" s="4"/>
      <c r="N178" s="15"/>
      <c r="O178" s="15"/>
      <c r="Q178" s="39"/>
      <c r="R178" s="33"/>
      <c r="S178" s="33"/>
      <c r="T178" s="33"/>
      <c r="U178" s="33"/>
      <c r="V178" s="33"/>
      <c r="W178" s="3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</row>
    <row r="179" spans="1:80" ht="15">
      <c r="A179" s="6"/>
      <c r="B179" s="178"/>
      <c r="C179" s="33"/>
      <c r="D179" s="33"/>
      <c r="E179" s="33"/>
      <c r="F179" s="33"/>
      <c r="G179" s="172"/>
      <c r="H179" s="173"/>
      <c r="I179" s="173"/>
      <c r="J179" s="231"/>
      <c r="K179" s="231"/>
      <c r="L179" s="4"/>
      <c r="M179" s="4"/>
      <c r="N179" s="15"/>
      <c r="O179" s="15"/>
      <c r="Q179" s="39"/>
      <c r="R179" s="33"/>
      <c r="S179" s="33"/>
      <c r="T179" s="33"/>
      <c r="U179" s="33"/>
      <c r="V179" s="33"/>
      <c r="W179" s="3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</row>
    <row r="180" spans="1:80" ht="13.5">
      <c r="A180" s="6"/>
      <c r="B180" s="178"/>
      <c r="C180" s="33"/>
      <c r="D180" s="33"/>
      <c r="E180" s="33"/>
      <c r="F180" s="33"/>
      <c r="G180" s="172"/>
      <c r="H180" s="173"/>
      <c r="I180" s="173"/>
      <c r="J180" s="231"/>
      <c r="K180" s="231"/>
      <c r="L180" s="4"/>
      <c r="M180" s="4"/>
      <c r="N180" s="15"/>
      <c r="O180" s="15"/>
      <c r="Q180" s="6"/>
      <c r="R180" s="33"/>
      <c r="S180" s="33"/>
      <c r="T180" s="33"/>
      <c r="U180" s="33"/>
      <c r="V180" s="33"/>
      <c r="W180" s="3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</row>
    <row r="181" spans="1:80" ht="13.5">
      <c r="A181" s="6"/>
      <c r="B181" s="33"/>
      <c r="C181" s="33"/>
      <c r="D181" s="33"/>
      <c r="E181" s="33"/>
      <c r="F181" s="33"/>
      <c r="G181" s="172"/>
      <c r="H181" s="173"/>
      <c r="I181" s="173"/>
      <c r="J181" s="231"/>
      <c r="K181" s="231"/>
      <c r="L181" s="4"/>
      <c r="M181" s="4"/>
      <c r="N181" s="15"/>
      <c r="O181" s="15"/>
      <c r="Q181" s="6"/>
      <c r="R181" s="33"/>
      <c r="S181" s="33"/>
      <c r="T181" s="33"/>
      <c r="U181" s="33"/>
      <c r="V181" s="33"/>
      <c r="W181" s="3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</row>
    <row r="182" spans="1:80" ht="13.5">
      <c r="A182" s="6"/>
      <c r="B182" s="34"/>
      <c r="C182" s="179"/>
      <c r="D182" s="179"/>
      <c r="E182" s="179"/>
      <c r="F182" s="179"/>
      <c r="G182" s="33"/>
      <c r="H182" s="173"/>
      <c r="I182" s="173"/>
      <c r="J182" s="231"/>
      <c r="K182" s="231"/>
      <c r="L182" s="4"/>
      <c r="M182" s="4"/>
      <c r="N182" s="15"/>
      <c r="O182" s="15"/>
      <c r="Q182" s="6"/>
      <c r="R182" s="33"/>
      <c r="S182" s="33"/>
      <c r="T182" s="33"/>
      <c r="U182" s="33"/>
      <c r="V182" s="33"/>
      <c r="W182" s="3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</row>
    <row r="183" spans="1:80" ht="13.5">
      <c r="A183" s="6"/>
      <c r="B183" s="34"/>
      <c r="C183" s="179"/>
      <c r="D183" s="179"/>
      <c r="E183" s="179"/>
      <c r="F183" s="179"/>
      <c r="G183" s="33"/>
      <c r="H183" s="173"/>
      <c r="I183" s="173"/>
      <c r="J183" s="231"/>
      <c r="K183" s="231"/>
      <c r="L183" s="4"/>
      <c r="M183" s="4"/>
      <c r="N183" s="15"/>
      <c r="O183" s="15"/>
      <c r="Q183" s="6"/>
      <c r="R183" s="33"/>
      <c r="S183" s="33"/>
      <c r="T183" s="33"/>
      <c r="U183" s="33"/>
      <c r="V183" s="33"/>
      <c r="W183" s="3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</row>
    <row r="184" spans="1:80" ht="15">
      <c r="A184" s="39"/>
      <c r="B184" s="174"/>
      <c r="C184" s="174"/>
      <c r="D184" s="174"/>
      <c r="E184" s="174"/>
      <c r="F184" s="174"/>
      <c r="G184" s="175"/>
      <c r="H184" s="175"/>
      <c r="I184" s="175"/>
      <c r="J184" s="231"/>
      <c r="K184" s="231"/>
      <c r="L184" s="4"/>
      <c r="M184" s="4"/>
      <c r="N184" s="15"/>
      <c r="O184" s="15"/>
      <c r="Q184" s="39"/>
      <c r="R184" s="36"/>
      <c r="S184" s="36"/>
      <c r="T184" s="36"/>
      <c r="U184" s="36"/>
      <c r="V184" s="36"/>
      <c r="W184" s="37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</row>
    <row r="185" spans="1:80" ht="13.5">
      <c r="A185" s="35"/>
      <c r="B185" s="46"/>
      <c r="C185" s="36"/>
      <c r="D185" s="36"/>
      <c r="E185" s="36"/>
      <c r="F185" s="36"/>
      <c r="G185" s="176"/>
      <c r="H185" s="176"/>
      <c r="I185" s="176"/>
      <c r="J185" s="231"/>
      <c r="K185" s="231"/>
      <c r="L185" s="4"/>
      <c r="M185" s="4"/>
      <c r="N185" s="15"/>
      <c r="O185" s="15"/>
      <c r="Q185" s="35"/>
      <c r="R185" s="46"/>
      <c r="S185" s="36"/>
      <c r="T185" s="36"/>
      <c r="U185" s="36"/>
      <c r="V185" s="36"/>
      <c r="W185" s="37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</row>
    <row r="186" spans="1:80" ht="13.5">
      <c r="A186" s="6"/>
      <c r="B186" s="46"/>
      <c r="C186" s="33"/>
      <c r="D186" s="33"/>
      <c r="E186" s="33"/>
      <c r="F186" s="33"/>
      <c r="G186" s="172"/>
      <c r="H186" s="173"/>
      <c r="I186" s="173"/>
      <c r="J186" s="231"/>
      <c r="K186" s="231"/>
      <c r="L186" s="4"/>
      <c r="M186" s="4"/>
      <c r="N186" s="15"/>
      <c r="O186" s="15"/>
      <c r="Q186" s="35"/>
      <c r="R186" s="46"/>
      <c r="S186" s="36"/>
      <c r="T186" s="36"/>
      <c r="U186" s="36"/>
      <c r="V186" s="36"/>
      <c r="W186" s="37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</row>
    <row r="187" spans="1:80" ht="13.5">
      <c r="A187" s="6"/>
      <c r="B187" s="46"/>
      <c r="C187" s="33"/>
      <c r="D187" s="33"/>
      <c r="E187" s="33"/>
      <c r="F187" s="33"/>
      <c r="G187" s="172"/>
      <c r="H187" s="173"/>
      <c r="I187" s="173"/>
      <c r="J187" s="231"/>
      <c r="K187" s="231"/>
      <c r="L187" s="4"/>
      <c r="M187" s="4"/>
      <c r="N187" s="15"/>
      <c r="O187" s="15"/>
      <c r="Q187" s="35"/>
      <c r="R187" s="46"/>
      <c r="S187" s="36"/>
      <c r="T187" s="36"/>
      <c r="U187" s="36"/>
      <c r="V187" s="36"/>
      <c r="W187" s="37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</row>
    <row r="188" spans="1:80" ht="13.5">
      <c r="A188" s="6"/>
      <c r="B188" s="33"/>
      <c r="C188" s="33"/>
      <c r="D188" s="33"/>
      <c r="E188" s="33"/>
      <c r="F188" s="33"/>
      <c r="G188" s="172"/>
      <c r="H188" s="173"/>
      <c r="I188" s="173"/>
      <c r="J188" s="231"/>
      <c r="K188" s="231"/>
      <c r="L188" s="4"/>
      <c r="M188" s="4"/>
      <c r="N188" s="15"/>
      <c r="O188" s="15"/>
      <c r="Q188" s="6"/>
      <c r="R188" s="33"/>
      <c r="S188" s="33"/>
      <c r="T188" s="33"/>
      <c r="U188" s="33"/>
      <c r="V188" s="33"/>
      <c r="W188" s="3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</row>
    <row r="189" spans="1:80" ht="13.5">
      <c r="A189" s="6"/>
      <c r="B189" s="33"/>
      <c r="C189" s="33"/>
      <c r="D189" s="33"/>
      <c r="E189" s="33"/>
      <c r="F189" s="33"/>
      <c r="G189" s="172"/>
      <c r="H189" s="173"/>
      <c r="I189" s="173"/>
      <c r="J189" s="231"/>
      <c r="K189" s="231"/>
      <c r="L189" s="4"/>
      <c r="M189" s="4"/>
      <c r="N189" s="15"/>
      <c r="O189" s="15"/>
      <c r="Q189" s="6"/>
      <c r="R189" s="33"/>
      <c r="S189" s="33"/>
      <c r="T189" s="33"/>
      <c r="U189" s="33"/>
      <c r="V189" s="33"/>
      <c r="W189" s="3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 ht="13.5">
      <c r="A190" s="180"/>
      <c r="B190" s="46"/>
      <c r="C190" s="46"/>
      <c r="D190" s="46"/>
      <c r="E190" s="46"/>
      <c r="F190" s="46"/>
      <c r="G190" s="176"/>
      <c r="H190" s="176"/>
      <c r="I190" s="176"/>
      <c r="J190" s="231"/>
      <c r="K190" s="231"/>
      <c r="L190" s="4"/>
      <c r="M190" s="4"/>
      <c r="N190" s="15"/>
      <c r="O190" s="15"/>
      <c r="Q190" s="41"/>
      <c r="R190" s="42"/>
      <c r="S190" s="42"/>
      <c r="T190" s="42"/>
      <c r="U190" s="42"/>
      <c r="V190" s="42"/>
      <c r="W190" s="43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</row>
    <row r="191" spans="1:80" ht="13.5">
      <c r="A191" s="6"/>
      <c r="B191" s="46"/>
      <c r="C191" s="46"/>
      <c r="D191" s="46"/>
      <c r="E191" s="46"/>
      <c r="F191" s="46"/>
      <c r="G191" s="176"/>
      <c r="H191" s="176"/>
      <c r="I191" s="176"/>
      <c r="J191" s="231"/>
      <c r="K191" s="231"/>
      <c r="L191" s="4"/>
      <c r="M191" s="4"/>
      <c r="N191" s="15"/>
      <c r="O191" s="15"/>
      <c r="Q191" s="41"/>
      <c r="R191" s="42"/>
      <c r="S191" s="42"/>
      <c r="T191" s="42"/>
      <c r="U191" s="42"/>
      <c r="V191" s="42"/>
      <c r="W191" s="43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</row>
    <row r="192" spans="1:80" ht="13.5">
      <c r="A192" s="38"/>
      <c r="B192" s="33"/>
      <c r="C192" s="33"/>
      <c r="D192" s="33"/>
      <c r="E192" s="33"/>
      <c r="F192" s="33"/>
      <c r="G192" s="172"/>
      <c r="H192" s="181"/>
      <c r="I192" s="181"/>
      <c r="J192" s="231"/>
      <c r="K192" s="231"/>
      <c r="L192" s="4"/>
      <c r="M192" s="4"/>
      <c r="N192" s="15"/>
      <c r="O192" s="15"/>
      <c r="Q192" s="6"/>
      <c r="R192" s="33"/>
      <c r="S192" s="33"/>
      <c r="T192" s="33"/>
      <c r="U192" s="33"/>
      <c r="V192" s="33"/>
      <c r="W192" s="3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</row>
    <row r="193" spans="1:80" ht="13.5">
      <c r="A193" s="6"/>
      <c r="B193" s="33"/>
      <c r="C193" s="33"/>
      <c r="D193" s="33"/>
      <c r="E193" s="33"/>
      <c r="F193" s="33"/>
      <c r="G193" s="172"/>
      <c r="H193" s="182"/>
      <c r="I193" s="182"/>
      <c r="J193" s="231"/>
      <c r="K193" s="231"/>
      <c r="L193" s="4"/>
      <c r="M193" s="4"/>
      <c r="N193" s="15"/>
      <c r="O193" s="15"/>
      <c r="Q193" s="6"/>
      <c r="R193" s="33"/>
      <c r="S193" s="33"/>
      <c r="T193" s="33"/>
      <c r="U193" s="33"/>
      <c r="V193" s="33"/>
      <c r="W193" s="3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</row>
    <row r="194" spans="1:80" ht="13.5">
      <c r="A194" s="6"/>
      <c r="B194" s="33"/>
      <c r="C194" s="33"/>
      <c r="D194" s="33"/>
      <c r="E194" s="33"/>
      <c r="F194" s="33"/>
      <c r="G194" s="172"/>
      <c r="H194" s="182"/>
      <c r="I194" s="182"/>
      <c r="J194" s="231"/>
      <c r="K194" s="231"/>
      <c r="L194" s="4"/>
      <c r="M194" s="4"/>
      <c r="N194" s="15"/>
      <c r="O194" s="15"/>
      <c r="Q194" s="6"/>
      <c r="R194" s="33"/>
      <c r="S194" s="33"/>
      <c r="T194" s="33"/>
      <c r="U194" s="33"/>
      <c r="V194" s="33"/>
      <c r="W194" s="3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13.5">
      <c r="A195" s="6"/>
      <c r="B195" s="33"/>
      <c r="C195" s="33"/>
      <c r="D195" s="33"/>
      <c r="E195" s="33"/>
      <c r="F195" s="33"/>
      <c r="G195" s="172"/>
      <c r="H195" s="182"/>
      <c r="I195" s="182"/>
      <c r="J195" s="231"/>
      <c r="K195" s="231"/>
      <c r="L195" s="4"/>
      <c r="M195" s="4"/>
      <c r="N195" s="15"/>
      <c r="O195" s="15"/>
      <c r="Q195" s="6"/>
      <c r="R195" s="33"/>
      <c r="S195" s="33"/>
      <c r="T195" s="33"/>
      <c r="U195" s="33"/>
      <c r="V195" s="33"/>
      <c r="W195" s="3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</row>
    <row r="196" spans="1:80" ht="13.5">
      <c r="A196" s="6"/>
      <c r="B196" s="33"/>
      <c r="C196" s="33"/>
      <c r="D196" s="33"/>
      <c r="E196" s="33"/>
      <c r="F196" s="33"/>
      <c r="G196" s="172"/>
      <c r="H196" s="182"/>
      <c r="I196" s="182"/>
      <c r="J196" s="231"/>
      <c r="K196" s="231"/>
      <c r="L196" s="4"/>
      <c r="M196" s="4"/>
      <c r="N196" s="15"/>
      <c r="O196" s="15"/>
      <c r="Q196" s="6"/>
      <c r="R196" s="33"/>
      <c r="S196" s="33"/>
      <c r="T196" s="33"/>
      <c r="U196" s="33"/>
      <c r="V196" s="33"/>
      <c r="W196" s="3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</row>
    <row r="197" spans="1:80" ht="13.5">
      <c r="A197" s="6"/>
      <c r="B197" s="33"/>
      <c r="C197" s="33"/>
      <c r="D197" s="33"/>
      <c r="E197" s="33"/>
      <c r="F197" s="33"/>
      <c r="G197" s="172"/>
      <c r="H197" s="182"/>
      <c r="I197" s="182"/>
      <c r="J197" s="231"/>
      <c r="K197" s="231"/>
      <c r="L197" s="4"/>
      <c r="M197" s="4"/>
      <c r="N197" s="15"/>
      <c r="O197" s="15"/>
      <c r="Q197" s="6"/>
      <c r="R197" s="33"/>
      <c r="S197" s="33"/>
      <c r="T197" s="33"/>
      <c r="U197" s="33"/>
      <c r="V197" s="33"/>
      <c r="W197" s="3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</row>
    <row r="198" spans="1:80" ht="13.5">
      <c r="A198" s="6"/>
      <c r="B198" s="33"/>
      <c r="C198" s="33"/>
      <c r="D198" s="33"/>
      <c r="E198" s="33"/>
      <c r="F198" s="33"/>
      <c r="G198" s="172"/>
      <c r="H198" s="182"/>
      <c r="I198" s="182"/>
      <c r="J198" s="231"/>
      <c r="K198" s="231"/>
      <c r="L198" s="4"/>
      <c r="M198" s="4"/>
      <c r="N198" s="15"/>
      <c r="O198" s="15"/>
      <c r="Q198" s="6"/>
      <c r="R198" s="33"/>
      <c r="S198" s="33"/>
      <c r="T198" s="33"/>
      <c r="U198" s="33"/>
      <c r="V198" s="33"/>
      <c r="W198" s="3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</row>
    <row r="199" spans="1:80" ht="13.5">
      <c r="A199" s="6"/>
      <c r="B199" s="33"/>
      <c r="C199" s="33"/>
      <c r="D199" s="33"/>
      <c r="E199" s="33"/>
      <c r="F199" s="33"/>
      <c r="G199" s="172"/>
      <c r="H199" s="173"/>
      <c r="I199" s="173"/>
      <c r="J199" s="231"/>
      <c r="K199" s="231"/>
      <c r="L199" s="4"/>
      <c r="M199" s="4"/>
      <c r="N199" s="15"/>
      <c r="O199" s="15"/>
      <c r="Q199" s="6"/>
      <c r="R199" s="33"/>
      <c r="S199" s="33"/>
      <c r="T199" s="33"/>
      <c r="U199" s="33"/>
      <c r="V199" s="33"/>
      <c r="W199" s="3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 ht="13.5">
      <c r="A200" s="6"/>
      <c r="B200" s="36"/>
      <c r="C200" s="33"/>
      <c r="D200" s="33"/>
      <c r="E200" s="33"/>
      <c r="F200" s="33"/>
      <c r="G200" s="172"/>
      <c r="H200" s="173"/>
      <c r="I200" s="173"/>
      <c r="J200" s="231"/>
      <c r="K200" s="231"/>
      <c r="L200" s="4"/>
      <c r="M200" s="4"/>
      <c r="N200" s="15"/>
      <c r="O200" s="15"/>
      <c r="Q200" s="6"/>
      <c r="R200" s="36"/>
      <c r="S200" s="33"/>
      <c r="T200" s="33"/>
      <c r="U200" s="33"/>
      <c r="V200" s="33"/>
      <c r="W200" s="3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</row>
    <row r="201" spans="1:90" ht="13.5">
      <c r="A201" s="6"/>
      <c r="B201" s="6"/>
      <c r="C201" s="33"/>
      <c r="D201" s="33"/>
      <c r="E201" s="33"/>
      <c r="F201" s="33"/>
      <c r="G201" s="172"/>
      <c r="H201" s="183"/>
      <c r="I201" s="183"/>
      <c r="J201" s="230"/>
      <c r="K201" s="230"/>
      <c r="L201" s="6"/>
      <c r="M201" s="6"/>
      <c r="N201" s="15"/>
      <c r="O201" s="15"/>
      <c r="P201" s="53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4"/>
      <c r="CA201" s="6"/>
      <c r="CB201" s="6"/>
      <c r="CC201" s="31"/>
      <c r="CD201" s="7"/>
      <c r="CE201" s="7"/>
      <c r="CF201" s="7"/>
      <c r="CG201" s="7"/>
      <c r="CH201" s="7"/>
      <c r="CI201" s="7"/>
      <c r="CJ201" s="7"/>
      <c r="CK201" s="7"/>
      <c r="CL201" s="7"/>
    </row>
    <row r="202" spans="1:80" ht="13.5">
      <c r="A202" s="184"/>
      <c r="B202" s="174"/>
      <c r="C202" s="174"/>
      <c r="D202" s="174"/>
      <c r="E202" s="174"/>
      <c r="F202" s="174"/>
      <c r="G202" s="185"/>
      <c r="H202" s="175"/>
      <c r="I202" s="175"/>
      <c r="J202" s="231"/>
      <c r="K202" s="231"/>
      <c r="L202" s="4"/>
      <c r="M202" s="4"/>
      <c r="N202" s="15"/>
      <c r="O202" s="15"/>
      <c r="Q202" s="35"/>
      <c r="R202" s="36"/>
      <c r="S202" s="36"/>
      <c r="T202" s="36"/>
      <c r="U202" s="36"/>
      <c r="V202" s="33"/>
      <c r="W202" s="27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</row>
    <row r="203" spans="1:90" ht="13.5">
      <c r="A203" s="6"/>
      <c r="B203" s="33"/>
      <c r="C203" s="33"/>
      <c r="D203" s="33"/>
      <c r="E203" s="33"/>
      <c r="F203" s="33"/>
      <c r="G203" s="172"/>
      <c r="H203" s="173"/>
      <c r="I203" s="173"/>
      <c r="J203" s="231"/>
      <c r="K203" s="231"/>
      <c r="L203" s="57"/>
      <c r="M203" s="57"/>
      <c r="N203" s="15"/>
      <c r="O203" s="15"/>
      <c r="P203" s="56"/>
      <c r="Q203" s="6"/>
      <c r="R203" s="33"/>
      <c r="S203" s="33"/>
      <c r="T203" s="33"/>
      <c r="U203" s="33"/>
      <c r="V203" s="33"/>
      <c r="W203" s="34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</row>
    <row r="204" spans="1:90" ht="13.5">
      <c r="A204" s="6"/>
      <c r="B204" s="33"/>
      <c r="C204" s="33"/>
      <c r="D204" s="33"/>
      <c r="E204" s="33"/>
      <c r="F204" s="33"/>
      <c r="G204" s="172"/>
      <c r="H204" s="173"/>
      <c r="I204" s="173"/>
      <c r="J204" s="231"/>
      <c r="K204" s="231"/>
      <c r="L204" s="57"/>
      <c r="M204" s="57"/>
      <c r="N204" s="15"/>
      <c r="O204" s="15"/>
      <c r="P204" s="56"/>
      <c r="Q204" s="6"/>
      <c r="R204" s="33"/>
      <c r="S204" s="33"/>
      <c r="T204" s="33"/>
      <c r="U204" s="33"/>
      <c r="V204" s="33"/>
      <c r="W204" s="34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</row>
    <row r="205" spans="1:80" ht="13.5">
      <c r="A205" s="6"/>
      <c r="B205" s="36"/>
      <c r="C205" s="33"/>
      <c r="D205" s="33"/>
      <c r="E205" s="33"/>
      <c r="F205" s="33"/>
      <c r="G205" s="172"/>
      <c r="H205" s="173"/>
      <c r="I205" s="173"/>
      <c r="J205" s="231"/>
      <c r="K205" s="231"/>
      <c r="L205" s="4"/>
      <c r="M205" s="4"/>
      <c r="N205" s="15"/>
      <c r="O205" s="15"/>
      <c r="Q205" s="6"/>
      <c r="R205" s="36"/>
      <c r="S205" s="36"/>
      <c r="T205" s="36"/>
      <c r="U205" s="36"/>
      <c r="V205" s="26"/>
      <c r="W205" s="27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</row>
    <row r="206" spans="1:80" ht="13.5">
      <c r="A206" s="6"/>
      <c r="B206" s="36"/>
      <c r="C206" s="33"/>
      <c r="D206" s="33"/>
      <c r="E206" s="33"/>
      <c r="F206" s="33"/>
      <c r="G206" s="172"/>
      <c r="H206" s="173"/>
      <c r="I206" s="173"/>
      <c r="J206" s="231"/>
      <c r="K206" s="231"/>
      <c r="L206" s="4"/>
      <c r="M206" s="4"/>
      <c r="N206" s="15"/>
      <c r="O206" s="15"/>
      <c r="Q206" s="6"/>
      <c r="R206" s="36"/>
      <c r="S206" s="36"/>
      <c r="T206" s="36"/>
      <c r="U206" s="36"/>
      <c r="V206" s="33"/>
      <c r="W206" s="27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</row>
    <row r="207" spans="1:80" ht="13.5">
      <c r="A207" s="184"/>
      <c r="B207" s="186"/>
      <c r="C207" s="174"/>
      <c r="D207" s="174"/>
      <c r="E207" s="174"/>
      <c r="F207" s="174"/>
      <c r="G207" s="175"/>
      <c r="H207" s="175"/>
      <c r="I207" s="175"/>
      <c r="J207" s="231"/>
      <c r="K207" s="231"/>
      <c r="L207" s="4"/>
      <c r="M207" s="4"/>
      <c r="N207" s="15"/>
      <c r="O207" s="15"/>
      <c r="Q207" s="35"/>
      <c r="R207" s="33"/>
      <c r="S207" s="36"/>
      <c r="T207" s="36"/>
      <c r="U207" s="36"/>
      <c r="V207" s="36"/>
      <c r="W207" s="37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</row>
    <row r="208" spans="1:80" ht="13.5">
      <c r="A208" s="6"/>
      <c r="B208" s="33"/>
      <c r="C208" s="33"/>
      <c r="D208" s="33"/>
      <c r="E208" s="33"/>
      <c r="F208" s="33"/>
      <c r="G208" s="172"/>
      <c r="H208" s="173"/>
      <c r="I208" s="173"/>
      <c r="J208" s="231"/>
      <c r="K208" s="231"/>
      <c r="L208" s="4"/>
      <c r="M208" s="4"/>
      <c r="N208" s="15"/>
      <c r="O208" s="15"/>
      <c r="Q208" s="6"/>
      <c r="R208" s="33"/>
      <c r="S208" s="33"/>
      <c r="T208" s="33"/>
      <c r="U208" s="33"/>
      <c r="V208" s="33"/>
      <c r="W208" s="3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</row>
    <row r="209" spans="1:80" ht="13.5">
      <c r="A209" s="6"/>
      <c r="B209" s="33"/>
      <c r="C209" s="33"/>
      <c r="D209" s="33"/>
      <c r="E209" s="33"/>
      <c r="F209" s="33"/>
      <c r="G209" s="172"/>
      <c r="H209" s="173"/>
      <c r="I209" s="173"/>
      <c r="J209" s="231"/>
      <c r="K209" s="231"/>
      <c r="L209" s="4"/>
      <c r="M209" s="4"/>
      <c r="N209" s="15"/>
      <c r="O209" s="15"/>
      <c r="Q209" s="6"/>
      <c r="R209" s="33"/>
      <c r="S209" s="33"/>
      <c r="T209" s="33"/>
      <c r="U209" s="33"/>
      <c r="V209" s="33"/>
      <c r="W209" s="3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</row>
    <row r="210" spans="1:80" ht="13.5">
      <c r="A210" s="6"/>
      <c r="B210" s="33"/>
      <c r="C210" s="33"/>
      <c r="D210" s="33"/>
      <c r="E210" s="33"/>
      <c r="F210" s="33"/>
      <c r="G210" s="172"/>
      <c r="H210" s="173"/>
      <c r="I210" s="173"/>
      <c r="J210" s="231"/>
      <c r="K210" s="231"/>
      <c r="L210" s="4"/>
      <c r="M210" s="4"/>
      <c r="N210" s="15"/>
      <c r="O210" s="15"/>
      <c r="Q210" s="6"/>
      <c r="R210" s="33"/>
      <c r="S210" s="33"/>
      <c r="T210" s="33"/>
      <c r="U210" s="33"/>
      <c r="V210" s="33"/>
      <c r="W210" s="3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</row>
    <row r="211" spans="1:80" ht="13.5">
      <c r="A211" s="6"/>
      <c r="B211" s="33"/>
      <c r="C211" s="33"/>
      <c r="D211" s="33"/>
      <c r="E211" s="33"/>
      <c r="F211" s="33"/>
      <c r="G211" s="172"/>
      <c r="H211" s="173"/>
      <c r="I211" s="173"/>
      <c r="J211" s="231"/>
      <c r="K211" s="231"/>
      <c r="L211" s="4"/>
      <c r="M211" s="4"/>
      <c r="N211" s="15"/>
      <c r="O211" s="15"/>
      <c r="Q211" s="6"/>
      <c r="R211" s="33"/>
      <c r="S211" s="33"/>
      <c r="T211" s="33"/>
      <c r="U211" s="33"/>
      <c r="V211" s="33"/>
      <c r="W211" s="3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</row>
    <row r="212" spans="1:80" ht="13.5">
      <c r="A212" s="184"/>
      <c r="B212" s="186"/>
      <c r="C212" s="174"/>
      <c r="D212" s="174"/>
      <c r="E212" s="174"/>
      <c r="F212" s="174"/>
      <c r="G212" s="175"/>
      <c r="H212" s="175"/>
      <c r="I212" s="175"/>
      <c r="J212" s="234"/>
      <c r="K212" s="234"/>
      <c r="L212" s="175"/>
      <c r="M212" s="175"/>
      <c r="N212" s="15"/>
      <c r="O212" s="15"/>
      <c r="Q212" s="35"/>
      <c r="R212" s="33"/>
      <c r="S212" s="26"/>
      <c r="T212" s="26"/>
      <c r="U212" s="26"/>
      <c r="V212" s="26"/>
      <c r="W212" s="27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</row>
    <row r="213" spans="1:90" ht="13.5">
      <c r="A213" s="25"/>
      <c r="B213" s="26"/>
      <c r="C213" s="26"/>
      <c r="D213" s="26"/>
      <c r="E213" s="26"/>
      <c r="F213" s="26"/>
      <c r="G213" s="175"/>
      <c r="H213" s="175"/>
      <c r="I213" s="175"/>
      <c r="J213" s="232"/>
      <c r="K213" s="232"/>
      <c r="L213" s="47"/>
      <c r="M213" s="47"/>
      <c r="N213" s="15"/>
      <c r="O213" s="15"/>
      <c r="P213" s="9"/>
      <c r="Q213" s="35"/>
      <c r="R213" s="26"/>
      <c r="S213" s="26"/>
      <c r="T213" s="26"/>
      <c r="U213" s="26"/>
      <c r="V213" s="26"/>
      <c r="W213" s="2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9"/>
      <c r="CD213" s="9"/>
      <c r="CE213" s="9"/>
      <c r="CF213" s="9"/>
      <c r="CG213" s="9"/>
      <c r="CH213" s="9"/>
      <c r="CI213" s="9"/>
      <c r="CJ213" s="9"/>
      <c r="CK213" s="9"/>
      <c r="CL213" s="9"/>
    </row>
    <row r="214" spans="1:80" ht="13.5">
      <c r="A214" s="6"/>
      <c r="B214" s="33"/>
      <c r="C214" s="33"/>
      <c r="D214" s="33"/>
      <c r="E214" s="33"/>
      <c r="F214" s="33"/>
      <c r="G214" s="172"/>
      <c r="H214" s="173"/>
      <c r="I214" s="173"/>
      <c r="J214" s="231"/>
      <c r="K214" s="231"/>
      <c r="L214" s="4"/>
      <c r="M214" s="4"/>
      <c r="N214" s="15"/>
      <c r="O214" s="15"/>
      <c r="Q214" s="48"/>
      <c r="R214" s="33"/>
      <c r="S214" s="33"/>
      <c r="T214" s="33"/>
      <c r="U214" s="33"/>
      <c r="V214" s="33"/>
      <c r="W214" s="3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</row>
    <row r="215" spans="1:80" ht="13.5">
      <c r="A215" s="6"/>
      <c r="B215" s="33"/>
      <c r="C215" s="33"/>
      <c r="D215" s="33"/>
      <c r="E215" s="33"/>
      <c r="F215" s="33"/>
      <c r="G215" s="172"/>
      <c r="H215" s="173"/>
      <c r="I215" s="173"/>
      <c r="J215" s="231"/>
      <c r="K215" s="231"/>
      <c r="L215" s="4"/>
      <c r="M215" s="4"/>
      <c r="N215" s="15"/>
      <c r="O215" s="15"/>
      <c r="Q215" s="6"/>
      <c r="R215" s="33"/>
      <c r="S215" s="33"/>
      <c r="T215" s="33"/>
      <c r="U215" s="33"/>
      <c r="V215" s="33"/>
      <c r="W215" s="3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</row>
    <row r="216" spans="1:90" ht="13.5">
      <c r="A216" s="25"/>
      <c r="B216" s="26"/>
      <c r="C216" s="26"/>
      <c r="D216" s="26"/>
      <c r="E216" s="26"/>
      <c r="F216" s="26"/>
      <c r="G216" s="187"/>
      <c r="H216" s="187"/>
      <c r="I216" s="187"/>
      <c r="J216" s="232"/>
      <c r="K216" s="232"/>
      <c r="L216" s="24"/>
      <c r="M216" s="24"/>
      <c r="N216" s="15"/>
      <c r="O216" s="15"/>
      <c r="P216" s="54"/>
      <c r="Q216" s="25"/>
      <c r="R216" s="26"/>
      <c r="S216" s="26"/>
      <c r="T216" s="26"/>
      <c r="U216" s="26"/>
      <c r="V216" s="26"/>
      <c r="W216" s="27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32"/>
      <c r="CD216" s="23"/>
      <c r="CE216" s="23"/>
      <c r="CF216" s="23"/>
      <c r="CG216" s="23"/>
      <c r="CH216" s="23"/>
      <c r="CI216" s="23"/>
      <c r="CJ216" s="23"/>
      <c r="CK216" s="23"/>
      <c r="CL216" s="23"/>
    </row>
    <row r="217" spans="1:90" ht="13.5">
      <c r="A217" s="6"/>
      <c r="B217" s="33"/>
      <c r="C217" s="33"/>
      <c r="D217" s="33"/>
      <c r="E217" s="33"/>
      <c r="F217" s="33"/>
      <c r="G217" s="172"/>
      <c r="H217" s="173"/>
      <c r="I217" s="173"/>
      <c r="J217" s="232"/>
      <c r="K217" s="232"/>
      <c r="L217" s="24"/>
      <c r="M217" s="24"/>
      <c r="N217" s="15"/>
      <c r="O217" s="15"/>
      <c r="P217" s="24"/>
      <c r="Q217" s="25"/>
      <c r="R217" s="26"/>
      <c r="S217" s="26"/>
      <c r="T217" s="26"/>
      <c r="U217" s="26"/>
      <c r="V217" s="26"/>
      <c r="W217" s="27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</row>
    <row r="218" spans="1:80" ht="13.5">
      <c r="A218" s="6"/>
      <c r="B218" s="33"/>
      <c r="C218" s="33"/>
      <c r="D218" s="33"/>
      <c r="E218" s="33"/>
      <c r="F218" s="33"/>
      <c r="G218" s="172"/>
      <c r="H218" s="173"/>
      <c r="I218" s="173"/>
      <c r="J218" s="231"/>
      <c r="K218" s="231"/>
      <c r="L218" s="4"/>
      <c r="M218" s="4"/>
      <c r="N218" s="15"/>
      <c r="O218" s="15"/>
      <c r="Q218" s="6"/>
      <c r="R218" s="33"/>
      <c r="S218" s="33"/>
      <c r="T218" s="33"/>
      <c r="U218" s="33"/>
      <c r="V218" s="33"/>
      <c r="W218" s="3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</row>
    <row r="219" spans="1:80" ht="15.75">
      <c r="A219" s="49"/>
      <c r="B219" s="50"/>
      <c r="C219" s="50"/>
      <c r="D219" s="50"/>
      <c r="E219" s="50"/>
      <c r="F219" s="50"/>
      <c r="G219" s="188"/>
      <c r="H219" s="188"/>
      <c r="I219" s="188"/>
      <c r="J219" s="231"/>
      <c r="K219" s="231"/>
      <c r="L219" s="4"/>
      <c r="M219" s="4"/>
      <c r="N219" s="38"/>
      <c r="O219" s="15"/>
      <c r="Q219" s="49"/>
      <c r="R219" s="50"/>
      <c r="S219" s="50"/>
      <c r="T219" s="50"/>
      <c r="U219" s="50"/>
      <c r="V219" s="50"/>
      <c r="W219" s="51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</row>
    <row r="220" spans="1:80" ht="15.75">
      <c r="A220" s="4"/>
      <c r="B220" s="4"/>
      <c r="C220" s="4"/>
      <c r="D220" s="4"/>
      <c r="E220" s="4"/>
      <c r="F220" s="4"/>
      <c r="G220" s="8"/>
      <c r="H220" s="4"/>
      <c r="I220" s="4"/>
      <c r="J220" s="231"/>
      <c r="K220" s="231"/>
      <c r="L220" s="4"/>
      <c r="M220" s="4"/>
      <c r="N220" s="38"/>
      <c r="O220" s="38"/>
      <c r="Q220" s="52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</row>
    <row r="221" spans="1:80" ht="15.75">
      <c r="A221" s="4"/>
      <c r="B221" s="4"/>
      <c r="C221" s="4"/>
      <c r="D221" s="4"/>
      <c r="E221" s="4"/>
      <c r="F221" s="4"/>
      <c r="G221" s="8"/>
      <c r="H221" s="4"/>
      <c r="I221" s="4"/>
      <c r="J221" s="231"/>
      <c r="K221" s="231"/>
      <c r="L221" s="4"/>
      <c r="M221" s="4"/>
      <c r="N221" s="38"/>
      <c r="O221" s="38"/>
      <c r="Q221" s="52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</row>
    <row r="222" spans="1:80" ht="15.75">
      <c r="A222" s="4"/>
      <c r="B222" s="4"/>
      <c r="C222" s="4"/>
      <c r="D222" s="4"/>
      <c r="E222" s="4"/>
      <c r="F222" s="4"/>
      <c r="G222" s="8"/>
      <c r="H222" s="4"/>
      <c r="I222" s="4"/>
      <c r="J222" s="231"/>
      <c r="K222" s="231"/>
      <c r="L222" s="4"/>
      <c r="M222" s="4"/>
      <c r="N222" s="38"/>
      <c r="O222" s="38"/>
      <c r="Q222" s="52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</row>
    <row r="223" spans="1:80" ht="15.75">
      <c r="A223" s="4"/>
      <c r="B223" s="4"/>
      <c r="C223" s="4"/>
      <c r="D223" s="4"/>
      <c r="E223" s="4"/>
      <c r="F223" s="4"/>
      <c r="G223" s="8"/>
      <c r="H223" s="4"/>
      <c r="I223" s="4"/>
      <c r="J223" s="231"/>
      <c r="K223" s="231"/>
      <c r="L223" s="4"/>
      <c r="M223" s="4"/>
      <c r="N223" s="38"/>
      <c r="O223" s="38"/>
      <c r="Q223" s="52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</row>
    <row r="224" spans="1:80" ht="15.75">
      <c r="A224" s="4"/>
      <c r="B224" s="4"/>
      <c r="C224" s="4"/>
      <c r="D224" s="4"/>
      <c r="E224" s="4"/>
      <c r="F224" s="4"/>
      <c r="G224" s="8"/>
      <c r="H224" s="4"/>
      <c r="I224" s="4"/>
      <c r="J224" s="231"/>
      <c r="K224" s="231"/>
      <c r="L224" s="4"/>
      <c r="M224" s="4"/>
      <c r="N224" s="38"/>
      <c r="O224" s="38"/>
      <c r="Q224" s="52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</row>
    <row r="225" spans="1:80" ht="15.75">
      <c r="A225" s="4"/>
      <c r="B225" s="4"/>
      <c r="C225" s="4"/>
      <c r="D225" s="4"/>
      <c r="E225" s="4"/>
      <c r="F225" s="4"/>
      <c r="G225" s="8"/>
      <c r="H225" s="4"/>
      <c r="I225" s="4"/>
      <c r="J225" s="231"/>
      <c r="K225" s="231"/>
      <c r="L225" s="4"/>
      <c r="M225" s="4"/>
      <c r="N225" s="38"/>
      <c r="O225" s="38"/>
      <c r="Q225" s="52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</row>
    <row r="226" spans="1:80" ht="13.5">
      <c r="A226" s="4"/>
      <c r="B226" s="4"/>
      <c r="C226" s="4"/>
      <c r="D226" s="4"/>
      <c r="E226" s="4"/>
      <c r="F226" s="4"/>
      <c r="G226" s="8"/>
      <c r="H226" s="8"/>
      <c r="I226" s="8"/>
      <c r="J226" s="235"/>
      <c r="K226" s="235"/>
      <c r="L226" s="8"/>
      <c r="M226" s="8"/>
      <c r="N226" s="38"/>
      <c r="O226" s="38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</row>
    <row r="227" spans="1:80" ht="13.5">
      <c r="A227" s="4"/>
      <c r="B227" s="4"/>
      <c r="C227" s="4"/>
      <c r="D227" s="4"/>
      <c r="E227" s="4"/>
      <c r="F227" s="4"/>
      <c r="G227" s="8"/>
      <c r="H227" s="4"/>
      <c r="I227" s="4"/>
      <c r="J227" s="231"/>
      <c r="K227" s="231"/>
      <c r="L227" s="4"/>
      <c r="M227" s="4"/>
      <c r="N227" s="38"/>
      <c r="O227" s="38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</row>
    <row r="228" spans="7:80" ht="13.5">
      <c r="G228" s="1"/>
      <c r="N228" s="16"/>
      <c r="O228" s="16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</row>
    <row r="229" spans="7:80" ht="13.5">
      <c r="G229" s="1"/>
      <c r="N229" s="16"/>
      <c r="O229" s="16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</row>
    <row r="230" spans="7:80" ht="13.5">
      <c r="G230" s="1"/>
      <c r="N230" s="16"/>
      <c r="O230" s="16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</row>
    <row r="231" spans="7:80" ht="13.5">
      <c r="G231" s="1"/>
      <c r="N231" s="16"/>
      <c r="O231" s="16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</row>
    <row r="232" spans="7:80" ht="13.5">
      <c r="G232" s="1"/>
      <c r="N232" s="16"/>
      <c r="O232" s="16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</row>
    <row r="233" spans="7:80" ht="13.5">
      <c r="G233" s="1"/>
      <c r="N233" s="16"/>
      <c r="O233" s="16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</row>
    <row r="234" spans="7:80" ht="13.5">
      <c r="G234" s="1"/>
      <c r="N234" s="16"/>
      <c r="O234" s="16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</row>
    <row r="235" spans="7:80" ht="13.5">
      <c r="G235" s="1"/>
      <c r="N235" s="16"/>
      <c r="O235" s="16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</row>
    <row r="236" spans="7:80" ht="13.5">
      <c r="G236" s="1"/>
      <c r="N236" s="16"/>
      <c r="O236" s="16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</row>
    <row r="237" spans="7:80" ht="13.5">
      <c r="G237" s="1"/>
      <c r="N237" s="16"/>
      <c r="O237" s="16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</row>
    <row r="238" spans="7:80" ht="13.5">
      <c r="G238" s="1"/>
      <c r="N238" s="16"/>
      <c r="O238" s="16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</row>
    <row r="239" spans="7:80" ht="13.5">
      <c r="G239" s="1"/>
      <c r="N239" s="16"/>
      <c r="O239" s="16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</row>
    <row r="240" spans="7:80" ht="13.5">
      <c r="G240" s="1"/>
      <c r="N240" s="16"/>
      <c r="O240" s="16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</row>
    <row r="241" spans="7:24" ht="13.5">
      <c r="G241" s="1"/>
      <c r="N241" s="16"/>
      <c r="O241" s="16"/>
      <c r="Q241" s="4"/>
      <c r="R241" s="4"/>
      <c r="S241" s="4"/>
      <c r="T241" s="4"/>
      <c r="U241" s="4"/>
      <c r="V241" s="4"/>
      <c r="W241" s="4"/>
      <c r="X241" s="4"/>
    </row>
    <row r="242" spans="7:24" ht="13.5">
      <c r="G242" s="1"/>
      <c r="N242" s="16"/>
      <c r="O242" s="16"/>
      <c r="Q242" s="4"/>
      <c r="R242" s="4"/>
      <c r="S242" s="4"/>
      <c r="T242" s="4"/>
      <c r="U242" s="4"/>
      <c r="V242" s="4"/>
      <c r="W242" s="4"/>
      <c r="X242" s="4"/>
    </row>
    <row r="243" spans="7:24" ht="13.5">
      <c r="G243" s="1"/>
      <c r="N243" s="16"/>
      <c r="O243" s="16"/>
      <c r="Q243" s="4"/>
      <c r="R243" s="4"/>
      <c r="S243" s="4"/>
      <c r="T243" s="4"/>
      <c r="U243" s="4"/>
      <c r="V243" s="4"/>
      <c r="W243" s="4"/>
      <c r="X243" s="4"/>
    </row>
    <row r="244" spans="7:24" ht="13.5">
      <c r="G244" s="1"/>
      <c r="N244" s="16"/>
      <c r="O244" s="16"/>
      <c r="Q244" s="4"/>
      <c r="R244" s="4"/>
      <c r="S244" s="4"/>
      <c r="T244" s="4"/>
      <c r="U244" s="4"/>
      <c r="V244" s="4"/>
      <c r="W244" s="4"/>
      <c r="X244" s="4"/>
    </row>
    <row r="245" spans="7:24" ht="13.5">
      <c r="G245" s="1"/>
      <c r="N245" s="16"/>
      <c r="O245" s="16"/>
      <c r="Q245" s="4"/>
      <c r="R245" s="4"/>
      <c r="S245" s="4"/>
      <c r="T245" s="4"/>
      <c r="U245" s="4"/>
      <c r="V245" s="4"/>
      <c r="W245" s="4"/>
      <c r="X245" s="4"/>
    </row>
    <row r="246" spans="7:24" ht="13.5">
      <c r="G246" s="1"/>
      <c r="N246" s="16"/>
      <c r="O246" s="16"/>
      <c r="Q246" s="4"/>
      <c r="R246" s="4"/>
      <c r="S246" s="4"/>
      <c r="T246" s="4"/>
      <c r="U246" s="4"/>
      <c r="V246" s="4"/>
      <c r="W246" s="4"/>
      <c r="X246" s="4"/>
    </row>
    <row r="247" spans="7:24" ht="13.5">
      <c r="G247" s="1"/>
      <c r="N247" s="16"/>
      <c r="O247" s="16"/>
      <c r="Q247" s="4"/>
      <c r="R247" s="4"/>
      <c r="S247" s="4"/>
      <c r="T247" s="4"/>
      <c r="U247" s="4"/>
      <c r="V247" s="4"/>
      <c r="W247" s="4"/>
      <c r="X247" s="4"/>
    </row>
    <row r="248" spans="7:24" ht="13.5">
      <c r="G248" s="1"/>
      <c r="N248" s="16"/>
      <c r="O248" s="16"/>
      <c r="Q248" s="4"/>
      <c r="R248" s="4"/>
      <c r="S248" s="4"/>
      <c r="T248" s="4"/>
      <c r="U248" s="4"/>
      <c r="V248" s="4"/>
      <c r="W248" s="4"/>
      <c r="X248" s="4"/>
    </row>
    <row r="249" spans="7:24" ht="13.5">
      <c r="G249" s="1"/>
      <c r="N249" s="16"/>
      <c r="O249" s="16"/>
      <c r="Q249" s="4"/>
      <c r="R249" s="4"/>
      <c r="S249" s="4"/>
      <c r="T249" s="4"/>
      <c r="U249" s="4"/>
      <c r="V249" s="4"/>
      <c r="W249" s="4"/>
      <c r="X249" s="4"/>
    </row>
    <row r="250" spans="7:24" ht="13.5">
      <c r="G250" s="1"/>
      <c r="N250" s="16"/>
      <c r="O250" s="16"/>
      <c r="Q250" s="4"/>
      <c r="R250" s="4"/>
      <c r="S250" s="4"/>
      <c r="T250" s="4"/>
      <c r="U250" s="4"/>
      <c r="V250" s="4"/>
      <c r="W250" s="4"/>
      <c r="X250" s="4"/>
    </row>
    <row r="251" spans="7:24" ht="13.5">
      <c r="G251" s="1"/>
      <c r="N251" s="16"/>
      <c r="O251" s="16"/>
      <c r="Q251" s="4"/>
      <c r="R251" s="4"/>
      <c r="S251" s="4"/>
      <c r="T251" s="4"/>
      <c r="U251" s="4"/>
      <c r="V251" s="4"/>
      <c r="W251" s="4"/>
      <c r="X251" s="4"/>
    </row>
    <row r="252" spans="7:24" ht="13.5">
      <c r="G252" s="1"/>
      <c r="N252" s="16"/>
      <c r="O252" s="16"/>
      <c r="Q252" s="4"/>
      <c r="R252" s="4"/>
      <c r="S252" s="4"/>
      <c r="T252" s="4"/>
      <c r="U252" s="4"/>
      <c r="V252" s="4"/>
      <c r="W252" s="4"/>
      <c r="X252" s="4"/>
    </row>
    <row r="253" spans="7:24" ht="13.5">
      <c r="G253" s="1"/>
      <c r="N253" s="16"/>
      <c r="O253" s="16"/>
      <c r="Q253" s="4"/>
      <c r="R253" s="4"/>
      <c r="S253" s="4"/>
      <c r="T253" s="4"/>
      <c r="U253" s="4"/>
      <c r="V253" s="4"/>
      <c r="W253" s="4"/>
      <c r="X253" s="4"/>
    </row>
    <row r="254" spans="7:24" ht="13.5">
      <c r="G254" s="1"/>
      <c r="N254" s="16"/>
      <c r="O254" s="16"/>
      <c r="Q254" s="4"/>
      <c r="R254" s="4"/>
      <c r="S254" s="4"/>
      <c r="T254" s="4"/>
      <c r="U254" s="4"/>
      <c r="V254" s="4"/>
      <c r="W254" s="4"/>
      <c r="X254" s="4"/>
    </row>
    <row r="255" spans="7:24" ht="13.5">
      <c r="G255" s="1"/>
      <c r="N255" s="16"/>
      <c r="O255" s="16"/>
      <c r="Q255" s="4"/>
      <c r="R255" s="4"/>
      <c r="S255" s="4"/>
      <c r="T255" s="4"/>
      <c r="U255" s="4"/>
      <c r="V255" s="4"/>
      <c r="W255" s="4"/>
      <c r="X255" s="4"/>
    </row>
    <row r="256" spans="7:24" ht="13.5">
      <c r="G256" s="1"/>
      <c r="N256" s="16"/>
      <c r="O256" s="16"/>
      <c r="Q256" s="4"/>
      <c r="R256" s="4"/>
      <c r="S256" s="4"/>
      <c r="T256" s="4"/>
      <c r="U256" s="4"/>
      <c r="V256" s="4"/>
      <c r="W256" s="4"/>
      <c r="X256" s="4"/>
    </row>
    <row r="257" spans="7:24" ht="13.5">
      <c r="G257" s="1"/>
      <c r="N257" s="16"/>
      <c r="O257" s="16"/>
      <c r="Q257" s="4"/>
      <c r="R257" s="4"/>
      <c r="S257" s="4"/>
      <c r="T257" s="4"/>
      <c r="U257" s="4"/>
      <c r="V257" s="4"/>
      <c r="W257" s="4"/>
      <c r="X257" s="4"/>
    </row>
    <row r="258" spans="7:24" ht="13.5">
      <c r="G258" s="1"/>
      <c r="N258" s="16"/>
      <c r="O258" s="16"/>
      <c r="Q258" s="4"/>
      <c r="R258" s="4"/>
      <c r="S258" s="4"/>
      <c r="T258" s="4"/>
      <c r="U258" s="4"/>
      <c r="V258" s="4"/>
      <c r="W258" s="4"/>
      <c r="X258" s="4"/>
    </row>
    <row r="259" spans="7:24" ht="13.5">
      <c r="G259" s="1"/>
      <c r="N259" s="16"/>
      <c r="O259" s="16"/>
      <c r="Q259" s="4"/>
      <c r="R259" s="4"/>
      <c r="S259" s="4"/>
      <c r="T259" s="4"/>
      <c r="U259" s="4"/>
      <c r="V259" s="4"/>
      <c r="W259" s="4"/>
      <c r="X259" s="4"/>
    </row>
    <row r="260" spans="7:24" ht="13.5">
      <c r="G260" s="1"/>
      <c r="N260" s="16"/>
      <c r="O260" s="16"/>
      <c r="Q260" s="4"/>
      <c r="R260" s="4"/>
      <c r="S260" s="4"/>
      <c r="T260" s="4"/>
      <c r="U260" s="4"/>
      <c r="V260" s="4"/>
      <c r="W260" s="4"/>
      <c r="X260" s="4"/>
    </row>
    <row r="261" spans="7:24" ht="13.5">
      <c r="G261" s="1"/>
      <c r="N261" s="16"/>
      <c r="O261" s="16"/>
      <c r="Q261" s="4"/>
      <c r="R261" s="4"/>
      <c r="S261" s="4"/>
      <c r="T261" s="4"/>
      <c r="U261" s="4"/>
      <c r="V261" s="4"/>
      <c r="W261" s="4"/>
      <c r="X261" s="4"/>
    </row>
    <row r="262" spans="7:24" ht="13.5">
      <c r="G262" s="1"/>
      <c r="N262" s="16"/>
      <c r="O262" s="16"/>
      <c r="Q262" s="4"/>
      <c r="R262" s="4"/>
      <c r="S262" s="4"/>
      <c r="T262" s="4"/>
      <c r="U262" s="4"/>
      <c r="V262" s="4"/>
      <c r="W262" s="4"/>
      <c r="X262" s="4"/>
    </row>
    <row r="263" spans="7:24" ht="13.5">
      <c r="G263" s="1"/>
      <c r="N263" s="16"/>
      <c r="O263" s="16"/>
      <c r="Q263" s="4"/>
      <c r="R263" s="4"/>
      <c r="S263" s="4"/>
      <c r="T263" s="4"/>
      <c r="U263" s="4"/>
      <c r="V263" s="4"/>
      <c r="W263" s="4"/>
      <c r="X263" s="4"/>
    </row>
    <row r="264" spans="7:24" ht="13.5">
      <c r="G264" s="1"/>
      <c r="N264" s="16"/>
      <c r="O264" s="16"/>
      <c r="Q264" s="4"/>
      <c r="R264" s="4"/>
      <c r="S264" s="4"/>
      <c r="T264" s="4"/>
      <c r="U264" s="4"/>
      <c r="V264" s="4"/>
      <c r="W264" s="4"/>
      <c r="X264" s="4"/>
    </row>
    <row r="265" spans="7:24" ht="13.5">
      <c r="G265" s="1"/>
      <c r="N265" s="16"/>
      <c r="O265" s="16"/>
      <c r="Q265" s="4"/>
      <c r="R265" s="4"/>
      <c r="S265" s="4"/>
      <c r="T265" s="4"/>
      <c r="U265" s="4"/>
      <c r="V265" s="4"/>
      <c r="W265" s="4"/>
      <c r="X265" s="4"/>
    </row>
    <row r="266" spans="7:24" ht="13.5">
      <c r="G266" s="1"/>
      <c r="N266" s="16"/>
      <c r="O266" s="16"/>
      <c r="Q266" s="4"/>
      <c r="R266" s="4"/>
      <c r="S266" s="4"/>
      <c r="T266" s="4"/>
      <c r="U266" s="4"/>
      <c r="V266" s="4"/>
      <c r="W266" s="4"/>
      <c r="X266" s="4"/>
    </row>
    <row r="267" spans="7:24" ht="13.5">
      <c r="G267" s="1"/>
      <c r="N267" s="16"/>
      <c r="O267" s="16"/>
      <c r="Q267" s="4"/>
      <c r="R267" s="4"/>
      <c r="S267" s="4"/>
      <c r="T267" s="4"/>
      <c r="U267" s="4"/>
      <c r="V267" s="4"/>
      <c r="W267" s="4"/>
      <c r="X267" s="4"/>
    </row>
    <row r="268" spans="7:24" ht="13.5">
      <c r="G268" s="1"/>
      <c r="N268" s="16"/>
      <c r="O268" s="16"/>
      <c r="Q268" s="4"/>
      <c r="R268" s="4"/>
      <c r="S268" s="4"/>
      <c r="T268" s="4"/>
      <c r="U268" s="4"/>
      <c r="V268" s="4"/>
      <c r="W268" s="4"/>
      <c r="X268" s="4"/>
    </row>
    <row r="269" spans="7:24" ht="13.5">
      <c r="G269" s="1"/>
      <c r="N269" s="16"/>
      <c r="O269" s="16"/>
      <c r="Q269" s="4"/>
      <c r="R269" s="4"/>
      <c r="S269" s="4"/>
      <c r="T269" s="4"/>
      <c r="U269" s="4"/>
      <c r="V269" s="4"/>
      <c r="W269" s="4"/>
      <c r="X269" s="4"/>
    </row>
    <row r="270" spans="7:24" ht="13.5">
      <c r="G270" s="1"/>
      <c r="N270" s="16"/>
      <c r="O270" s="16"/>
      <c r="Q270" s="4"/>
      <c r="R270" s="4"/>
      <c r="S270" s="4"/>
      <c r="T270" s="4"/>
      <c r="U270" s="4"/>
      <c r="V270" s="4"/>
      <c r="W270" s="4"/>
      <c r="X270" s="4"/>
    </row>
    <row r="271" spans="7:24" ht="13.5">
      <c r="G271" s="1"/>
      <c r="N271" s="16"/>
      <c r="O271" s="16"/>
      <c r="Q271" s="4"/>
      <c r="R271" s="4"/>
      <c r="S271" s="4"/>
      <c r="T271" s="4"/>
      <c r="U271" s="4"/>
      <c r="V271" s="4"/>
      <c r="W271" s="4"/>
      <c r="X271" s="4"/>
    </row>
    <row r="272" spans="7:24" ht="13.5">
      <c r="G272" s="1"/>
      <c r="N272" s="16"/>
      <c r="O272" s="16"/>
      <c r="Q272" s="4"/>
      <c r="R272" s="4"/>
      <c r="S272" s="4"/>
      <c r="T272" s="4"/>
      <c r="U272" s="4"/>
      <c r="V272" s="4"/>
      <c r="W272" s="4"/>
      <c r="X272" s="4"/>
    </row>
    <row r="273" spans="7:24" ht="13.5">
      <c r="G273" s="1"/>
      <c r="N273" s="16"/>
      <c r="O273" s="16"/>
      <c r="Q273" s="4"/>
      <c r="R273" s="4"/>
      <c r="S273" s="4"/>
      <c r="T273" s="4"/>
      <c r="U273" s="4"/>
      <c r="V273" s="4"/>
      <c r="W273" s="4"/>
      <c r="X273" s="4"/>
    </row>
    <row r="274" spans="7:24" ht="13.5">
      <c r="G274" s="1"/>
      <c r="N274" s="16"/>
      <c r="O274" s="16"/>
      <c r="Q274" s="4"/>
      <c r="R274" s="4"/>
      <c r="S274" s="4"/>
      <c r="T274" s="4"/>
      <c r="U274" s="4"/>
      <c r="V274" s="4"/>
      <c r="W274" s="4"/>
      <c r="X274" s="4"/>
    </row>
    <row r="275" spans="7:24" ht="13.5">
      <c r="G275" s="1"/>
      <c r="N275" s="16"/>
      <c r="O275" s="16"/>
      <c r="Q275" s="4"/>
      <c r="R275" s="4"/>
      <c r="S275" s="4"/>
      <c r="T275" s="4"/>
      <c r="U275" s="4"/>
      <c r="V275" s="4"/>
      <c r="W275" s="4"/>
      <c r="X275" s="4"/>
    </row>
    <row r="276" spans="7:24" ht="13.5">
      <c r="G276" s="1"/>
      <c r="N276" s="16"/>
      <c r="O276" s="16"/>
      <c r="Q276" s="4"/>
      <c r="R276" s="4"/>
      <c r="S276" s="4"/>
      <c r="T276" s="4"/>
      <c r="U276" s="4"/>
      <c r="V276" s="4"/>
      <c r="W276" s="4"/>
      <c r="X276" s="4"/>
    </row>
    <row r="277" spans="7:24" ht="13.5">
      <c r="G277" s="1"/>
      <c r="N277" s="16"/>
      <c r="O277" s="16"/>
      <c r="Q277" s="4"/>
      <c r="R277" s="4"/>
      <c r="S277" s="4"/>
      <c r="T277" s="4"/>
      <c r="U277" s="4"/>
      <c r="V277" s="4"/>
      <c r="W277" s="4"/>
      <c r="X277" s="4"/>
    </row>
    <row r="278" spans="7:24" ht="13.5">
      <c r="G278" s="1"/>
      <c r="N278" s="16"/>
      <c r="O278" s="16"/>
      <c r="Q278" s="4"/>
      <c r="R278" s="4"/>
      <c r="S278" s="4"/>
      <c r="T278" s="4"/>
      <c r="U278" s="4"/>
      <c r="V278" s="4"/>
      <c r="W278" s="4"/>
      <c r="X278" s="4"/>
    </row>
    <row r="279" spans="7:24" ht="13.5">
      <c r="G279" s="1"/>
      <c r="N279" s="16"/>
      <c r="O279" s="16"/>
      <c r="Q279" s="4"/>
      <c r="R279" s="4"/>
      <c r="S279" s="4"/>
      <c r="T279" s="4"/>
      <c r="U279" s="4"/>
      <c r="V279" s="4"/>
      <c r="W279" s="4"/>
      <c r="X279" s="4"/>
    </row>
    <row r="280" spans="7:24" ht="13.5">
      <c r="G280" s="1"/>
      <c r="N280" s="16"/>
      <c r="O280" s="16"/>
      <c r="Q280" s="4"/>
      <c r="R280" s="4"/>
      <c r="S280" s="4"/>
      <c r="T280" s="4"/>
      <c r="U280" s="4"/>
      <c r="V280" s="4"/>
      <c r="W280" s="4"/>
      <c r="X280" s="4"/>
    </row>
    <row r="281" spans="7:24" ht="13.5">
      <c r="G281" s="1"/>
      <c r="N281" s="16"/>
      <c r="O281" s="16"/>
      <c r="Q281" s="4"/>
      <c r="R281" s="4"/>
      <c r="S281" s="4"/>
      <c r="T281" s="4"/>
      <c r="U281" s="4"/>
      <c r="V281" s="4"/>
      <c r="W281" s="4"/>
      <c r="X281" s="4"/>
    </row>
    <row r="282" spans="7:24" ht="13.5">
      <c r="G282" s="1"/>
      <c r="N282" s="16"/>
      <c r="O282" s="16"/>
      <c r="Q282" s="4"/>
      <c r="R282" s="4"/>
      <c r="S282" s="4"/>
      <c r="T282" s="4"/>
      <c r="U282" s="4"/>
      <c r="V282" s="4"/>
      <c r="W282" s="4"/>
      <c r="X282" s="4"/>
    </row>
    <row r="283" spans="7:24" ht="13.5">
      <c r="G283" s="1"/>
      <c r="N283" s="16"/>
      <c r="O283" s="16"/>
      <c r="Q283" s="4"/>
      <c r="R283" s="4"/>
      <c r="S283" s="4"/>
      <c r="T283" s="4"/>
      <c r="U283" s="4"/>
      <c r="V283" s="4"/>
      <c r="W283" s="4"/>
      <c r="X283" s="4"/>
    </row>
    <row r="284" spans="7:24" ht="13.5">
      <c r="G284" s="1"/>
      <c r="N284" s="16"/>
      <c r="O284" s="16"/>
      <c r="Q284" s="4"/>
      <c r="R284" s="4"/>
      <c r="S284" s="4"/>
      <c r="T284" s="4"/>
      <c r="U284" s="4"/>
      <c r="V284" s="4"/>
      <c r="W284" s="4"/>
      <c r="X284" s="4"/>
    </row>
    <row r="285" spans="7:24" ht="13.5">
      <c r="G285" s="1"/>
      <c r="N285" s="16"/>
      <c r="O285" s="16"/>
      <c r="Q285" s="4"/>
      <c r="R285" s="4"/>
      <c r="S285" s="4"/>
      <c r="T285" s="4"/>
      <c r="U285" s="4"/>
      <c r="V285" s="4"/>
      <c r="W285" s="4"/>
      <c r="X285" s="4"/>
    </row>
    <row r="286" spans="7:24" ht="13.5">
      <c r="G286" s="1"/>
      <c r="N286" s="16"/>
      <c r="O286" s="16"/>
      <c r="Q286" s="4"/>
      <c r="R286" s="4"/>
      <c r="S286" s="4"/>
      <c r="T286" s="4"/>
      <c r="U286" s="4"/>
      <c r="V286" s="4"/>
      <c r="W286" s="4"/>
      <c r="X286" s="4"/>
    </row>
    <row r="287" spans="7:24" ht="13.5">
      <c r="G287" s="1"/>
      <c r="N287" s="16"/>
      <c r="O287" s="16"/>
      <c r="Q287" s="4"/>
      <c r="R287" s="4"/>
      <c r="S287" s="4"/>
      <c r="T287" s="4"/>
      <c r="U287" s="4"/>
      <c r="V287" s="4"/>
      <c r="W287" s="4"/>
      <c r="X287" s="4"/>
    </row>
    <row r="288" spans="7:24" ht="13.5">
      <c r="G288" s="1"/>
      <c r="N288" s="16"/>
      <c r="O288" s="16"/>
      <c r="Q288" s="4"/>
      <c r="R288" s="4"/>
      <c r="S288" s="4"/>
      <c r="T288" s="4"/>
      <c r="U288" s="4"/>
      <c r="V288" s="4"/>
      <c r="W288" s="4"/>
      <c r="X288" s="4"/>
    </row>
    <row r="289" spans="7:24" ht="13.5">
      <c r="G289" s="1"/>
      <c r="N289" s="16"/>
      <c r="O289" s="16"/>
      <c r="Q289" s="4"/>
      <c r="R289" s="4"/>
      <c r="S289" s="4"/>
      <c r="T289" s="4"/>
      <c r="U289" s="4"/>
      <c r="V289" s="4"/>
      <c r="W289" s="4"/>
      <c r="X289" s="4"/>
    </row>
    <row r="290" spans="7:24" ht="13.5">
      <c r="G290" s="1"/>
      <c r="N290" s="16"/>
      <c r="O290" s="16"/>
      <c r="Q290" s="4"/>
      <c r="R290" s="4"/>
      <c r="S290" s="4"/>
      <c r="T290" s="4"/>
      <c r="U290" s="4"/>
      <c r="V290" s="4"/>
      <c r="W290" s="4"/>
      <c r="X290" s="4"/>
    </row>
    <row r="291" spans="7:24" ht="13.5">
      <c r="G291" s="1"/>
      <c r="N291" s="16"/>
      <c r="O291" s="16"/>
      <c r="Q291" s="4"/>
      <c r="R291" s="4"/>
      <c r="S291" s="4"/>
      <c r="T291" s="4"/>
      <c r="U291" s="4"/>
      <c r="V291" s="4"/>
      <c r="W291" s="4"/>
      <c r="X291" s="4"/>
    </row>
    <row r="292" spans="7:24" ht="13.5">
      <c r="G292" s="1"/>
      <c r="N292" s="16"/>
      <c r="O292" s="16"/>
      <c r="Q292" s="4"/>
      <c r="R292" s="4"/>
      <c r="S292" s="4"/>
      <c r="T292" s="4"/>
      <c r="U292" s="4"/>
      <c r="V292" s="4"/>
      <c r="W292" s="4"/>
      <c r="X292" s="4"/>
    </row>
    <row r="293" spans="7:24" ht="13.5">
      <c r="G293" s="1"/>
      <c r="N293" s="16"/>
      <c r="O293" s="16"/>
      <c r="Q293" s="4"/>
      <c r="R293" s="4"/>
      <c r="S293" s="4"/>
      <c r="T293" s="4"/>
      <c r="U293" s="4"/>
      <c r="V293" s="4"/>
      <c r="W293" s="4"/>
      <c r="X293" s="4"/>
    </row>
    <row r="294" spans="7:24" ht="13.5">
      <c r="G294" s="1"/>
      <c r="N294" s="16"/>
      <c r="O294" s="16"/>
      <c r="Q294" s="4"/>
      <c r="R294" s="4"/>
      <c r="S294" s="4"/>
      <c r="T294" s="4"/>
      <c r="U294" s="4"/>
      <c r="V294" s="4"/>
      <c r="W294" s="4"/>
      <c r="X294" s="4"/>
    </row>
    <row r="295" spans="7:24" ht="13.5">
      <c r="G295" s="1"/>
      <c r="N295" s="16"/>
      <c r="O295" s="16"/>
      <c r="Q295" s="4"/>
      <c r="R295" s="4"/>
      <c r="S295" s="4"/>
      <c r="T295" s="4"/>
      <c r="U295" s="4"/>
      <c r="V295" s="4"/>
      <c r="W295" s="4"/>
      <c r="X295" s="4"/>
    </row>
    <row r="296" spans="7:24" ht="13.5">
      <c r="G296" s="1"/>
      <c r="N296" s="16"/>
      <c r="O296" s="16"/>
      <c r="Q296" s="4"/>
      <c r="R296" s="4"/>
      <c r="S296" s="4"/>
      <c r="T296" s="4"/>
      <c r="U296" s="4"/>
      <c r="V296" s="4"/>
      <c r="W296" s="4"/>
      <c r="X296" s="4"/>
    </row>
    <row r="297" spans="7:24" ht="13.5">
      <c r="G297" s="1"/>
      <c r="N297" s="16"/>
      <c r="O297" s="16"/>
      <c r="Q297" s="4"/>
      <c r="R297" s="4"/>
      <c r="S297" s="4"/>
      <c r="T297" s="4"/>
      <c r="U297" s="4"/>
      <c r="V297" s="4"/>
      <c r="W297" s="4"/>
      <c r="X297" s="4"/>
    </row>
    <row r="298" spans="7:24" ht="13.5">
      <c r="G298" s="1"/>
      <c r="N298" s="16"/>
      <c r="O298" s="16"/>
      <c r="Q298" s="4"/>
      <c r="R298" s="4"/>
      <c r="S298" s="4"/>
      <c r="T298" s="4"/>
      <c r="U298" s="4"/>
      <c r="V298" s="4"/>
      <c r="W298" s="4"/>
      <c r="X298" s="4"/>
    </row>
    <row r="299" spans="7:24" ht="13.5">
      <c r="G299" s="1"/>
      <c r="N299" s="16"/>
      <c r="O299" s="16"/>
      <c r="Q299" s="4"/>
      <c r="R299" s="4"/>
      <c r="S299" s="4"/>
      <c r="T299" s="4"/>
      <c r="U299" s="4"/>
      <c r="V299" s="4"/>
      <c r="W299" s="4"/>
      <c r="X299" s="4"/>
    </row>
    <row r="300" spans="7:24" ht="13.5">
      <c r="G300" s="1"/>
      <c r="N300" s="16"/>
      <c r="O300" s="16"/>
      <c r="Q300" s="4"/>
      <c r="R300" s="4"/>
      <c r="S300" s="4"/>
      <c r="T300" s="4"/>
      <c r="U300" s="4"/>
      <c r="V300" s="4"/>
      <c r="W300" s="4"/>
      <c r="X300" s="4"/>
    </row>
    <row r="301" spans="7:24" ht="13.5">
      <c r="G301" s="1"/>
      <c r="N301" s="16"/>
      <c r="O301" s="16"/>
      <c r="Q301" s="4"/>
      <c r="R301" s="4"/>
      <c r="S301" s="4"/>
      <c r="T301" s="4"/>
      <c r="U301" s="4"/>
      <c r="V301" s="4"/>
      <c r="W301" s="4"/>
      <c r="X301" s="4"/>
    </row>
    <row r="302" spans="7:24" ht="13.5">
      <c r="G302" s="1"/>
      <c r="N302" s="16"/>
      <c r="O302" s="16"/>
      <c r="Q302" s="4"/>
      <c r="R302" s="4"/>
      <c r="S302" s="4"/>
      <c r="T302" s="4"/>
      <c r="U302" s="4"/>
      <c r="V302" s="4"/>
      <c r="W302" s="4"/>
      <c r="X302" s="4"/>
    </row>
    <row r="303" spans="7:24" ht="13.5">
      <c r="G303" s="1"/>
      <c r="N303" s="16"/>
      <c r="O303" s="16"/>
      <c r="Q303" s="4"/>
      <c r="R303" s="4"/>
      <c r="S303" s="4"/>
      <c r="T303" s="4"/>
      <c r="U303" s="4"/>
      <c r="V303" s="4"/>
      <c r="W303" s="4"/>
      <c r="X303" s="4"/>
    </row>
    <row r="304" spans="7:24" ht="13.5">
      <c r="G304" s="1"/>
      <c r="N304" s="16"/>
      <c r="O304" s="16"/>
      <c r="Q304" s="4"/>
      <c r="R304" s="4"/>
      <c r="S304" s="4"/>
      <c r="T304" s="4"/>
      <c r="U304" s="4"/>
      <c r="V304" s="4"/>
      <c r="W304" s="4"/>
      <c r="X304" s="4"/>
    </row>
    <row r="305" spans="7:24" ht="13.5">
      <c r="G305" s="1"/>
      <c r="N305" s="16"/>
      <c r="O305" s="16"/>
      <c r="Q305" s="4"/>
      <c r="R305" s="4"/>
      <c r="S305" s="4"/>
      <c r="T305" s="4"/>
      <c r="U305" s="4"/>
      <c r="V305" s="4"/>
      <c r="W305" s="4"/>
      <c r="X305" s="4"/>
    </row>
    <row r="306" spans="7:24" ht="13.5">
      <c r="G306" s="1"/>
      <c r="N306" s="16"/>
      <c r="O306" s="16"/>
      <c r="Q306" s="4"/>
      <c r="R306" s="4"/>
      <c r="S306" s="4"/>
      <c r="T306" s="4"/>
      <c r="U306" s="4"/>
      <c r="V306" s="4"/>
      <c r="W306" s="4"/>
      <c r="X306" s="4"/>
    </row>
    <row r="307" spans="7:24" ht="13.5">
      <c r="G307" s="1"/>
      <c r="N307" s="16"/>
      <c r="O307" s="16"/>
      <c r="Q307" s="4"/>
      <c r="R307" s="4"/>
      <c r="S307" s="4"/>
      <c r="T307" s="4"/>
      <c r="U307" s="4"/>
      <c r="V307" s="4"/>
      <c r="W307" s="4"/>
      <c r="X307" s="4"/>
    </row>
    <row r="308" spans="7:24" ht="13.5">
      <c r="G308" s="1"/>
      <c r="N308" s="16"/>
      <c r="O308" s="16"/>
      <c r="Q308" s="4"/>
      <c r="R308" s="4"/>
      <c r="S308" s="4"/>
      <c r="T308" s="4"/>
      <c r="U308" s="4"/>
      <c r="V308" s="4"/>
      <c r="W308" s="4"/>
      <c r="X308" s="4"/>
    </row>
    <row r="309" spans="7:24" ht="13.5">
      <c r="G309" s="1"/>
      <c r="N309" s="16"/>
      <c r="O309" s="16"/>
      <c r="Q309" s="4"/>
      <c r="R309" s="4"/>
      <c r="S309" s="4"/>
      <c r="T309" s="4"/>
      <c r="U309" s="4"/>
      <c r="V309" s="4"/>
      <c r="W309" s="4"/>
      <c r="X309" s="4"/>
    </row>
    <row r="310" spans="7:24" ht="13.5">
      <c r="G310" s="1"/>
      <c r="N310" s="16"/>
      <c r="O310" s="16"/>
      <c r="Q310" s="4"/>
      <c r="R310" s="4"/>
      <c r="S310" s="4"/>
      <c r="T310" s="4"/>
      <c r="U310" s="4"/>
      <c r="V310" s="4"/>
      <c r="W310" s="4"/>
      <c r="X310" s="4"/>
    </row>
    <row r="311" spans="7:24" ht="13.5">
      <c r="G311" s="1"/>
      <c r="N311" s="16"/>
      <c r="O311" s="16"/>
      <c r="Q311" s="4"/>
      <c r="R311" s="4"/>
      <c r="S311" s="4"/>
      <c r="T311" s="4"/>
      <c r="U311" s="4"/>
      <c r="V311" s="4"/>
      <c r="W311" s="4"/>
      <c r="X311" s="4"/>
    </row>
    <row r="312" spans="7:24" ht="13.5">
      <c r="G312" s="1"/>
      <c r="N312" s="16"/>
      <c r="O312" s="16"/>
      <c r="Q312" s="4"/>
      <c r="R312" s="4"/>
      <c r="S312" s="4"/>
      <c r="T312" s="4"/>
      <c r="U312" s="4"/>
      <c r="V312" s="4"/>
      <c r="W312" s="4"/>
      <c r="X312" s="4"/>
    </row>
    <row r="313" spans="7:24" ht="13.5">
      <c r="G313" s="1"/>
      <c r="N313" s="16"/>
      <c r="O313" s="16"/>
      <c r="Q313" s="4"/>
      <c r="R313" s="4"/>
      <c r="S313" s="4"/>
      <c r="T313" s="4"/>
      <c r="U313" s="4"/>
      <c r="V313" s="4"/>
      <c r="W313" s="4"/>
      <c r="X313" s="4"/>
    </row>
    <row r="314" spans="7:24" ht="13.5">
      <c r="G314" s="1"/>
      <c r="N314" s="16"/>
      <c r="O314" s="16"/>
      <c r="Q314" s="4"/>
      <c r="R314" s="4"/>
      <c r="S314" s="4"/>
      <c r="T314" s="4"/>
      <c r="U314" s="4"/>
      <c r="V314" s="4"/>
      <c r="W314" s="4"/>
      <c r="X314" s="4"/>
    </row>
    <row r="315" spans="7:24" ht="13.5">
      <c r="G315" s="1"/>
      <c r="N315" s="16"/>
      <c r="O315" s="16"/>
      <c r="Q315" s="4"/>
      <c r="R315" s="4"/>
      <c r="S315" s="4"/>
      <c r="T315" s="4"/>
      <c r="U315" s="4"/>
      <c r="V315" s="4"/>
      <c r="W315" s="4"/>
      <c r="X315" s="4"/>
    </row>
    <row r="316" spans="7:24" ht="13.5">
      <c r="G316" s="1"/>
      <c r="N316" s="16"/>
      <c r="O316" s="16"/>
      <c r="Q316" s="4"/>
      <c r="R316" s="4"/>
      <c r="S316" s="4"/>
      <c r="T316" s="4"/>
      <c r="U316" s="4"/>
      <c r="V316" s="4"/>
      <c r="W316" s="4"/>
      <c r="X316" s="4"/>
    </row>
    <row r="317" spans="7:24" ht="13.5">
      <c r="G317" s="1"/>
      <c r="N317" s="16"/>
      <c r="O317" s="16"/>
      <c r="Q317" s="4"/>
      <c r="R317" s="4"/>
      <c r="S317" s="4"/>
      <c r="T317" s="4"/>
      <c r="U317" s="4"/>
      <c r="V317" s="4"/>
      <c r="W317" s="4"/>
      <c r="X317" s="4"/>
    </row>
    <row r="318" spans="7:24" ht="13.5">
      <c r="G318" s="1"/>
      <c r="N318" s="16"/>
      <c r="O318" s="16"/>
      <c r="Q318" s="4"/>
      <c r="R318" s="4"/>
      <c r="S318" s="4"/>
      <c r="T318" s="4"/>
      <c r="U318" s="4"/>
      <c r="V318" s="4"/>
      <c r="W318" s="4"/>
      <c r="X318" s="4"/>
    </row>
    <row r="319" spans="7:24" ht="13.5">
      <c r="G319" s="1"/>
      <c r="N319" s="16"/>
      <c r="O319" s="16"/>
      <c r="Q319" s="4"/>
      <c r="R319" s="4"/>
      <c r="S319" s="4"/>
      <c r="T319" s="4"/>
      <c r="U319" s="4"/>
      <c r="V319" s="4"/>
      <c r="W319" s="4"/>
      <c r="X319" s="4"/>
    </row>
    <row r="320" spans="7:15" ht="13.5">
      <c r="G320" s="1"/>
      <c r="N320" s="16"/>
      <c r="O320" s="16"/>
    </row>
    <row r="321" spans="7:15" ht="13.5">
      <c r="G321" s="1"/>
      <c r="N321" s="16"/>
      <c r="O321" s="16"/>
    </row>
    <row r="322" spans="7:15" ht="13.5">
      <c r="G322" s="1"/>
      <c r="N322" s="16"/>
      <c r="O322" s="16"/>
    </row>
    <row r="323" spans="7:15" ht="13.5">
      <c r="G323" s="1"/>
      <c r="N323" s="16"/>
      <c r="O323" s="16"/>
    </row>
    <row r="324" spans="7:15" ht="13.5">
      <c r="G324" s="1"/>
      <c r="N324" s="16"/>
      <c r="O324" s="16"/>
    </row>
    <row r="325" spans="7:15" ht="13.5">
      <c r="G325" s="1"/>
      <c r="N325" s="16"/>
      <c r="O325" s="16"/>
    </row>
    <row r="326" spans="7:15" ht="13.5">
      <c r="G326" s="1"/>
      <c r="N326" s="16"/>
      <c r="O326" s="16"/>
    </row>
    <row r="327" spans="7:15" ht="13.5">
      <c r="G327" s="1"/>
      <c r="N327" s="16"/>
      <c r="O327" s="16"/>
    </row>
    <row r="328" spans="14:15" ht="13.5">
      <c r="N328" s="16"/>
      <c r="O328" s="16"/>
    </row>
    <row r="329" spans="14:15" ht="13.5">
      <c r="N329" s="16"/>
      <c r="O329" s="16"/>
    </row>
    <row r="330" spans="14:15" ht="13.5">
      <c r="N330" s="16"/>
      <c r="O330" s="16"/>
    </row>
    <row r="331" spans="14:15" ht="13.5">
      <c r="N331" s="16"/>
      <c r="O331" s="16"/>
    </row>
    <row r="332" spans="14:15" ht="13.5">
      <c r="N332" s="16"/>
      <c r="O332" s="16"/>
    </row>
    <row r="333" spans="14:15" ht="13.5">
      <c r="N333" s="16"/>
      <c r="O333" s="16"/>
    </row>
    <row r="334" spans="14:15" ht="13.5">
      <c r="N334" s="16"/>
      <c r="O334" s="16"/>
    </row>
    <row r="335" spans="14:15" ht="13.5">
      <c r="N335" s="16"/>
      <c r="O335" s="16"/>
    </row>
    <row r="336" spans="14:15" ht="13.5">
      <c r="N336" s="16"/>
      <c r="O336" s="16"/>
    </row>
    <row r="337" spans="14:15" ht="13.5">
      <c r="N337" s="16"/>
      <c r="O337" s="16"/>
    </row>
    <row r="338" spans="14:15" ht="13.5">
      <c r="N338" s="16"/>
      <c r="O338" s="16"/>
    </row>
    <row r="339" spans="14:15" ht="13.5">
      <c r="N339" s="16"/>
      <c r="O339" s="16"/>
    </row>
    <row r="340" spans="14:15" ht="13.5">
      <c r="N340" s="16"/>
      <c r="O340" s="16"/>
    </row>
    <row r="341" spans="14:15" ht="13.5">
      <c r="N341" s="16"/>
      <c r="O341" s="16"/>
    </row>
    <row r="342" spans="14:15" ht="13.5">
      <c r="N342" s="16"/>
      <c r="O342" s="16"/>
    </row>
    <row r="343" spans="14:15" ht="13.5">
      <c r="N343" s="16"/>
      <c r="O343" s="16"/>
    </row>
    <row r="344" spans="14:15" ht="13.5">
      <c r="N344" s="16"/>
      <c r="O344" s="16"/>
    </row>
    <row r="345" spans="14:15" ht="13.5">
      <c r="N345" s="16"/>
      <c r="O345" s="16"/>
    </row>
    <row r="346" spans="14:15" ht="13.5">
      <c r="N346" s="16"/>
      <c r="O346" s="16"/>
    </row>
    <row r="347" spans="14:15" ht="13.5">
      <c r="N347" s="16"/>
      <c r="O347" s="16"/>
    </row>
    <row r="348" spans="14:15" ht="13.5">
      <c r="N348" s="16"/>
      <c r="O348" s="16"/>
    </row>
    <row r="349" spans="14:15" ht="13.5">
      <c r="N349" s="16"/>
      <c r="O349" s="16"/>
    </row>
    <row r="350" spans="14:15" ht="13.5">
      <c r="N350" s="16"/>
      <c r="O350" s="16"/>
    </row>
    <row r="351" spans="14:15" ht="13.5">
      <c r="N351" s="16"/>
      <c r="O351" s="16"/>
    </row>
    <row r="352" spans="14:15" ht="13.5">
      <c r="N352" s="16"/>
      <c r="O352" s="16"/>
    </row>
    <row r="353" spans="14:15" ht="13.5">
      <c r="N353" s="16"/>
      <c r="O353" s="16"/>
    </row>
    <row r="354" spans="14:15" ht="13.5">
      <c r="N354" s="16"/>
      <c r="O354" s="16"/>
    </row>
    <row r="355" spans="14:15" ht="13.5">
      <c r="N355" s="16"/>
      <c r="O355" s="16"/>
    </row>
    <row r="356" spans="14:15" ht="13.5">
      <c r="N356" s="16"/>
      <c r="O356" s="16"/>
    </row>
    <row r="357" spans="14:15" ht="13.5">
      <c r="N357" s="16"/>
      <c r="O357" s="16"/>
    </row>
    <row r="358" spans="14:15" ht="13.5">
      <c r="N358" s="16"/>
      <c r="O358" s="16"/>
    </row>
    <row r="359" spans="14:15" ht="13.5">
      <c r="N359" s="16"/>
      <c r="O359" s="16"/>
    </row>
    <row r="360" spans="14:15" ht="13.5">
      <c r="N360" s="16"/>
      <c r="O360" s="16"/>
    </row>
    <row r="361" spans="14:15" ht="13.5">
      <c r="N361" s="16"/>
      <c r="O361" s="16"/>
    </row>
    <row r="362" spans="14:15" ht="13.5">
      <c r="N362" s="16"/>
      <c r="O362" s="16"/>
    </row>
    <row r="363" spans="14:15" ht="13.5">
      <c r="N363" s="16"/>
      <c r="O363" s="16"/>
    </row>
    <row r="364" spans="14:15" ht="13.5">
      <c r="N364" s="16"/>
      <c r="O364" s="16"/>
    </row>
    <row r="365" spans="14:15" ht="13.5">
      <c r="N365" s="16"/>
      <c r="O365" s="16"/>
    </row>
    <row r="366" spans="14:15" ht="13.5">
      <c r="N366" s="16"/>
      <c r="O366" s="16"/>
    </row>
    <row r="367" spans="14:15" ht="13.5">
      <c r="N367" s="16"/>
      <c r="O367" s="16"/>
    </row>
    <row r="368" spans="14:15" ht="13.5">
      <c r="N368" s="16"/>
      <c r="O368" s="16"/>
    </row>
    <row r="369" spans="14:15" ht="13.5">
      <c r="N369" s="16"/>
      <c r="O369" s="16"/>
    </row>
    <row r="370" spans="14:15" ht="13.5">
      <c r="N370" s="16"/>
      <c r="O370" s="16"/>
    </row>
    <row r="371" spans="14:15" ht="13.5">
      <c r="N371" s="16"/>
      <c r="O371" s="16"/>
    </row>
    <row r="372" spans="14:15" ht="13.5">
      <c r="N372" s="16"/>
      <c r="O372" s="16"/>
    </row>
    <row r="373" spans="14:15" ht="13.5">
      <c r="N373" s="16"/>
      <c r="O373" s="16"/>
    </row>
    <row r="374" spans="14:15" ht="13.5">
      <c r="N374" s="16"/>
      <c r="O374" s="16"/>
    </row>
    <row r="375" spans="14:15" ht="13.5">
      <c r="N375" s="16"/>
      <c r="O375" s="16"/>
    </row>
    <row r="376" spans="14:15" ht="13.5">
      <c r="N376" s="16"/>
      <c r="O376" s="16"/>
    </row>
    <row r="377" spans="14:15" ht="13.5">
      <c r="N377" s="16"/>
      <c r="O377" s="16"/>
    </row>
    <row r="378" spans="14:15" ht="13.5">
      <c r="N378" s="16"/>
      <c r="O378" s="16"/>
    </row>
    <row r="379" spans="14:15" ht="13.5">
      <c r="N379" s="16"/>
      <c r="O379" s="16"/>
    </row>
    <row r="380" spans="14:15" ht="13.5">
      <c r="N380" s="16"/>
      <c r="O380" s="16"/>
    </row>
    <row r="381" spans="14:15" ht="13.5">
      <c r="N381" s="16"/>
      <c r="O381" s="16"/>
    </row>
    <row r="382" spans="14:15" ht="13.5">
      <c r="N382" s="16"/>
      <c r="O382" s="16"/>
    </row>
    <row r="383" spans="14:15" ht="13.5">
      <c r="N383" s="16"/>
      <c r="O383" s="16"/>
    </row>
    <row r="384" spans="14:15" ht="13.5">
      <c r="N384" s="16"/>
      <c r="O384" s="16"/>
    </row>
    <row r="385" spans="14:15" ht="13.5">
      <c r="N385" s="16"/>
      <c r="O385" s="16"/>
    </row>
    <row r="386" spans="14:15" ht="13.5">
      <c r="N386" s="16"/>
      <c r="O386" s="16"/>
    </row>
    <row r="387" spans="14:15" ht="13.5">
      <c r="N387" s="16"/>
      <c r="O387" s="16"/>
    </row>
    <row r="388" spans="14:15" ht="13.5">
      <c r="N388" s="16"/>
      <c r="O388" s="16"/>
    </row>
    <row r="389" spans="14:15" ht="13.5">
      <c r="N389" s="16"/>
      <c r="O389" s="16"/>
    </row>
    <row r="390" spans="14:15" ht="13.5">
      <c r="N390" s="16"/>
      <c r="O390" s="16"/>
    </row>
    <row r="391" spans="14:15" ht="13.5">
      <c r="N391" s="16"/>
      <c r="O391" s="16"/>
    </row>
    <row r="392" spans="14:15" ht="13.5">
      <c r="N392" s="16"/>
      <c r="O392" s="16"/>
    </row>
    <row r="393" spans="14:15" ht="13.5">
      <c r="N393" s="16"/>
      <c r="O393" s="16"/>
    </row>
    <row r="394" spans="14:15" ht="13.5">
      <c r="N394" s="16"/>
      <c r="O394" s="16"/>
    </row>
    <row r="395" spans="14:15" ht="13.5">
      <c r="N395" s="16"/>
      <c r="O395" s="16"/>
    </row>
    <row r="396" spans="14:15" ht="13.5">
      <c r="N396" s="16"/>
      <c r="O396" s="16"/>
    </row>
    <row r="397" spans="14:15" ht="13.5">
      <c r="N397" s="16"/>
      <c r="O397" s="16"/>
    </row>
    <row r="398" spans="14:15" ht="13.5">
      <c r="N398" s="16"/>
      <c r="O398" s="16"/>
    </row>
    <row r="399" spans="14:15" ht="13.5">
      <c r="N399" s="16"/>
      <c r="O399" s="16"/>
    </row>
    <row r="400" spans="14:15" ht="13.5">
      <c r="N400" s="16"/>
      <c r="O400" s="16"/>
    </row>
    <row r="401" spans="14:15" ht="13.5">
      <c r="N401" s="16"/>
      <c r="O401" s="16"/>
    </row>
    <row r="402" spans="14:15" ht="13.5">
      <c r="N402" s="16"/>
      <c r="O402" s="16"/>
    </row>
    <row r="403" spans="14:15" ht="13.5">
      <c r="N403" s="16"/>
      <c r="O403" s="16"/>
    </row>
    <row r="404" spans="14:15" ht="13.5">
      <c r="N404" s="16"/>
      <c r="O404" s="16"/>
    </row>
    <row r="405" spans="14:15" ht="13.5">
      <c r="N405" s="16"/>
      <c r="O405" s="16"/>
    </row>
    <row r="406" spans="14:15" ht="13.5">
      <c r="N406" s="16"/>
      <c r="O406" s="16"/>
    </row>
    <row r="407" spans="14:15" ht="13.5">
      <c r="N407" s="16"/>
      <c r="O407" s="16"/>
    </row>
    <row r="408" spans="14:15" ht="13.5">
      <c r="N408" s="16"/>
      <c r="O408" s="16"/>
    </row>
    <row r="409" spans="14:15" ht="13.5">
      <c r="N409" s="16"/>
      <c r="O409" s="16"/>
    </row>
    <row r="410" spans="14:15" ht="13.5">
      <c r="N410" s="16"/>
      <c r="O410" s="16"/>
    </row>
    <row r="411" spans="14:15" ht="13.5">
      <c r="N411" s="16"/>
      <c r="O411" s="16"/>
    </row>
    <row r="412" spans="14:15" ht="13.5">
      <c r="N412" s="16"/>
      <c r="O412" s="16"/>
    </row>
    <row r="413" spans="14:15" ht="13.5">
      <c r="N413" s="16"/>
      <c r="O413" s="16"/>
    </row>
    <row r="414" spans="14:15" ht="13.5">
      <c r="N414" s="16"/>
      <c r="O414" s="16"/>
    </row>
    <row r="415" spans="14:15" ht="13.5">
      <c r="N415" s="16"/>
      <c r="O415" s="16"/>
    </row>
    <row r="416" spans="14:15" ht="13.5">
      <c r="N416" s="16"/>
      <c r="O416" s="16"/>
    </row>
    <row r="417" spans="14:15" ht="13.5">
      <c r="N417" s="16"/>
      <c r="O417" s="16"/>
    </row>
    <row r="418" spans="14:15" ht="13.5">
      <c r="N418" s="16"/>
      <c r="O418" s="16"/>
    </row>
    <row r="419" spans="14:15" ht="13.5">
      <c r="N419" s="16"/>
      <c r="O419" s="16"/>
    </row>
    <row r="420" spans="14:15" ht="13.5">
      <c r="N420" s="16"/>
      <c r="O420" s="16"/>
    </row>
    <row r="421" spans="14:15" ht="13.5">
      <c r="N421" s="16"/>
      <c r="O421" s="16"/>
    </row>
    <row r="422" spans="14:15" ht="13.5">
      <c r="N422" s="16"/>
      <c r="O422" s="16"/>
    </row>
    <row r="423" spans="14:15" ht="13.5">
      <c r="N423" s="16"/>
      <c r="O423" s="16"/>
    </row>
    <row r="424" spans="14:15" ht="13.5">
      <c r="N424" s="16"/>
      <c r="O424" s="16"/>
    </row>
    <row r="425" spans="14:15" ht="13.5">
      <c r="N425" s="16"/>
      <c r="O425" s="16"/>
    </row>
    <row r="426" spans="14:15" ht="13.5">
      <c r="N426" s="16"/>
      <c r="O426" s="16"/>
    </row>
    <row r="427" spans="14:15" ht="13.5">
      <c r="N427" s="16"/>
      <c r="O427" s="16"/>
    </row>
    <row r="428" spans="14:15" ht="13.5">
      <c r="N428" s="16"/>
      <c r="O428" s="16"/>
    </row>
    <row r="429" spans="14:15" ht="13.5">
      <c r="N429" s="16"/>
      <c r="O429" s="16"/>
    </row>
    <row r="430" spans="14:15" ht="13.5">
      <c r="N430" s="16"/>
      <c r="O430" s="16"/>
    </row>
    <row r="431" spans="14:15" ht="13.5">
      <c r="N431" s="16"/>
      <c r="O431" s="16"/>
    </row>
    <row r="432" spans="14:15" ht="13.5">
      <c r="N432" s="16"/>
      <c r="O432" s="16"/>
    </row>
    <row r="433" spans="14:15" ht="13.5">
      <c r="N433" s="16"/>
      <c r="O433" s="16"/>
    </row>
    <row r="434" spans="14:15" ht="13.5">
      <c r="N434" s="16"/>
      <c r="O434" s="16"/>
    </row>
    <row r="435" spans="14:15" ht="13.5">
      <c r="N435" s="16"/>
      <c r="O435" s="16"/>
    </row>
    <row r="436" spans="14:15" ht="13.5">
      <c r="N436" s="16"/>
      <c r="O436" s="16"/>
    </row>
    <row r="437" spans="14:15" ht="13.5">
      <c r="N437" s="16"/>
      <c r="O437" s="16"/>
    </row>
    <row r="438" spans="14:15" ht="13.5">
      <c r="N438" s="16"/>
      <c r="O438" s="16"/>
    </row>
    <row r="439" spans="14:15" ht="13.5">
      <c r="N439" s="16"/>
      <c r="O439" s="16"/>
    </row>
    <row r="440" spans="14:15" ht="13.5">
      <c r="N440" s="16"/>
      <c r="O440" s="16"/>
    </row>
    <row r="441" spans="14:15" ht="13.5">
      <c r="N441" s="16"/>
      <c r="O441" s="16"/>
    </row>
    <row r="442" spans="14:15" ht="13.5">
      <c r="N442" s="16"/>
      <c r="O442" s="16"/>
    </row>
    <row r="443" spans="14:15" ht="13.5">
      <c r="N443" s="16"/>
      <c r="O443" s="16"/>
    </row>
    <row r="444" spans="14:15" ht="13.5">
      <c r="N444" s="16"/>
      <c r="O444" s="16"/>
    </row>
    <row r="445" spans="14:15" ht="13.5">
      <c r="N445" s="16"/>
      <c r="O445" s="16"/>
    </row>
    <row r="446" spans="14:15" ht="13.5">
      <c r="N446" s="16"/>
      <c r="O446" s="16"/>
    </row>
    <row r="447" spans="14:15" ht="13.5">
      <c r="N447" s="16"/>
      <c r="O447" s="16"/>
    </row>
    <row r="448" spans="14:15" ht="13.5">
      <c r="N448" s="16"/>
      <c r="O448" s="16"/>
    </row>
    <row r="449" spans="14:15" ht="13.5">
      <c r="N449" s="16"/>
      <c r="O449" s="16"/>
    </row>
    <row r="450" spans="14:15" ht="13.5">
      <c r="N450" s="16"/>
      <c r="O450" s="16"/>
    </row>
    <row r="451" spans="14:15" ht="13.5">
      <c r="N451" s="16"/>
      <c r="O451" s="16"/>
    </row>
    <row r="452" spans="14:15" ht="13.5">
      <c r="N452" s="16"/>
      <c r="O452" s="16"/>
    </row>
    <row r="453" spans="14:15" ht="13.5">
      <c r="N453" s="16"/>
      <c r="O453" s="16"/>
    </row>
    <row r="454" spans="14:15" ht="13.5">
      <c r="N454" s="16"/>
      <c r="O454" s="16"/>
    </row>
    <row r="455" spans="14:15" ht="13.5">
      <c r="N455" s="16"/>
      <c r="O455" s="16"/>
    </row>
    <row r="456" spans="14:15" ht="13.5">
      <c r="N456" s="16"/>
      <c r="O456" s="16"/>
    </row>
    <row r="457" spans="14:15" ht="13.5">
      <c r="N457" s="16"/>
      <c r="O457" s="16"/>
    </row>
    <row r="458" spans="14:15" ht="13.5">
      <c r="N458" s="16"/>
      <c r="O458" s="16"/>
    </row>
    <row r="459" spans="14:15" ht="13.5">
      <c r="N459" s="16"/>
      <c r="O459" s="16"/>
    </row>
    <row r="460" spans="14:15" ht="13.5">
      <c r="N460" s="16"/>
      <c r="O460" s="16"/>
    </row>
    <row r="461" spans="14:15" ht="13.5">
      <c r="N461" s="16"/>
      <c r="O461" s="16"/>
    </row>
    <row r="462" spans="14:15" ht="13.5">
      <c r="N462" s="16"/>
      <c r="O462" s="16"/>
    </row>
    <row r="463" spans="14:15" ht="13.5">
      <c r="N463" s="16"/>
      <c r="O463" s="16"/>
    </row>
    <row r="464" spans="14:15" ht="13.5">
      <c r="N464" s="16"/>
      <c r="O464" s="16"/>
    </row>
    <row r="465" spans="14:15" ht="13.5">
      <c r="N465" s="16"/>
      <c r="O465" s="16"/>
    </row>
    <row r="466" spans="14:15" ht="13.5">
      <c r="N466" s="16"/>
      <c r="O466" s="16"/>
    </row>
    <row r="467" spans="14:15" ht="13.5">
      <c r="N467" s="16"/>
      <c r="O467" s="16"/>
    </row>
    <row r="468" spans="14:15" ht="13.5">
      <c r="N468" s="16"/>
      <c r="O468" s="16"/>
    </row>
    <row r="469" spans="14:15" ht="13.5">
      <c r="N469" s="16"/>
      <c r="O469" s="16"/>
    </row>
    <row r="470" spans="14:15" ht="13.5">
      <c r="N470" s="16"/>
      <c r="O470" s="16"/>
    </row>
    <row r="471" spans="14:15" ht="13.5">
      <c r="N471" s="16"/>
      <c r="O471" s="16"/>
    </row>
    <row r="472" spans="14:15" ht="13.5">
      <c r="N472" s="16"/>
      <c r="O472" s="16"/>
    </row>
    <row r="473" spans="14:15" ht="13.5">
      <c r="N473" s="16"/>
      <c r="O473" s="16"/>
    </row>
    <row r="474" spans="14:15" ht="13.5">
      <c r="N474" s="16"/>
      <c r="O474" s="16"/>
    </row>
    <row r="475" spans="14:15" ht="13.5">
      <c r="N475" s="16"/>
      <c r="O475" s="16"/>
    </row>
    <row r="476" spans="14:15" ht="13.5">
      <c r="N476" s="16"/>
      <c r="O476" s="16"/>
    </row>
    <row r="477" spans="14:15" ht="13.5">
      <c r="N477" s="16"/>
      <c r="O477" s="16"/>
    </row>
    <row r="478" spans="14:15" ht="13.5">
      <c r="N478" s="16"/>
      <c r="O478" s="16"/>
    </row>
    <row r="479" spans="14:15" ht="13.5">
      <c r="N479" s="16"/>
      <c r="O479" s="16"/>
    </row>
    <row r="480" spans="14:15" ht="13.5">
      <c r="N480" s="16"/>
      <c r="O480" s="16"/>
    </row>
    <row r="481" spans="14:15" ht="13.5">
      <c r="N481" s="16"/>
      <c r="O481" s="16"/>
    </row>
    <row r="482" spans="14:15" ht="13.5">
      <c r="N482" s="16"/>
      <c r="O482" s="16"/>
    </row>
    <row r="483" spans="14:15" ht="13.5">
      <c r="N483" s="16"/>
      <c r="O483" s="16"/>
    </row>
    <row r="484" spans="14:15" ht="13.5">
      <c r="N484" s="16"/>
      <c r="O484" s="16"/>
    </row>
    <row r="485" spans="14:15" ht="13.5">
      <c r="N485" s="16"/>
      <c r="O485" s="16"/>
    </row>
    <row r="486" spans="14:15" ht="13.5">
      <c r="N486" s="16"/>
      <c r="O486" s="16"/>
    </row>
    <row r="487" spans="14:15" ht="13.5">
      <c r="N487" s="16"/>
      <c r="O487" s="16"/>
    </row>
    <row r="488" spans="14:15" ht="13.5">
      <c r="N488" s="16"/>
      <c r="O488" s="16"/>
    </row>
    <row r="489" spans="14:15" ht="13.5">
      <c r="N489" s="16"/>
      <c r="O489" s="16"/>
    </row>
    <row r="490" spans="14:15" ht="13.5">
      <c r="N490" s="16"/>
      <c r="O490" s="16"/>
    </row>
    <row r="491" spans="14:15" ht="13.5">
      <c r="N491" s="16"/>
      <c r="O491" s="16"/>
    </row>
    <row r="492" spans="14:15" ht="13.5">
      <c r="N492" s="16"/>
      <c r="O492" s="16"/>
    </row>
    <row r="493" spans="14:15" ht="13.5">
      <c r="N493" s="16"/>
      <c r="O493" s="16"/>
    </row>
    <row r="494" spans="14:15" ht="13.5">
      <c r="N494" s="16"/>
      <c r="O494" s="16"/>
    </row>
    <row r="495" spans="14:15" ht="13.5">
      <c r="N495" s="16"/>
      <c r="O495" s="16"/>
    </row>
    <row r="496" spans="14:15" ht="13.5">
      <c r="N496" s="16"/>
      <c r="O496" s="16"/>
    </row>
    <row r="497" spans="14:15" ht="13.5">
      <c r="N497" s="16"/>
      <c r="O497" s="16"/>
    </row>
    <row r="498" spans="14:15" ht="13.5">
      <c r="N498" s="16"/>
      <c r="O498" s="16"/>
    </row>
    <row r="499" spans="14:15" ht="13.5">
      <c r="N499" s="16"/>
      <c r="O499" s="16"/>
    </row>
    <row r="500" spans="14:15" ht="13.5">
      <c r="N500" s="16"/>
      <c r="O500" s="16"/>
    </row>
    <row r="501" spans="14:15" ht="13.5">
      <c r="N501" s="16"/>
      <c r="O501" s="16"/>
    </row>
    <row r="502" spans="14:15" ht="13.5">
      <c r="N502" s="16"/>
      <c r="O502" s="16"/>
    </row>
    <row r="503" spans="14:15" ht="13.5">
      <c r="N503" s="16"/>
      <c r="O503" s="16"/>
    </row>
    <row r="504" spans="14:15" ht="13.5">
      <c r="N504" s="16"/>
      <c r="O504" s="16"/>
    </row>
    <row r="505" spans="14:15" ht="13.5">
      <c r="N505" s="16"/>
      <c r="O505" s="16"/>
    </row>
    <row r="506" spans="14:15" ht="13.5">
      <c r="N506" s="16"/>
      <c r="O506" s="16"/>
    </row>
    <row r="507" spans="14:15" ht="13.5">
      <c r="N507" s="16"/>
      <c r="O507" s="16"/>
    </row>
    <row r="508" spans="14:15" ht="13.5">
      <c r="N508" s="16"/>
      <c r="O508" s="16"/>
    </row>
    <row r="509" spans="14:15" ht="13.5">
      <c r="N509" s="16"/>
      <c r="O509" s="16"/>
    </row>
    <row r="510" spans="14:15" ht="13.5">
      <c r="N510" s="16"/>
      <c r="O510" s="16"/>
    </row>
    <row r="511" spans="14:15" ht="13.5">
      <c r="N511" s="16"/>
      <c r="O511" s="16"/>
    </row>
    <row r="512" spans="14:15" ht="13.5">
      <c r="N512" s="16"/>
      <c r="O512" s="16"/>
    </row>
    <row r="513" spans="14:15" ht="13.5">
      <c r="N513" s="16"/>
      <c r="O513" s="16"/>
    </row>
    <row r="514" spans="14:15" ht="13.5">
      <c r="N514" s="16"/>
      <c r="O514" s="16"/>
    </row>
    <row r="515" spans="14:15" ht="13.5">
      <c r="N515" s="16"/>
      <c r="O515" s="16"/>
    </row>
    <row r="516" spans="14:15" ht="13.5">
      <c r="N516" s="16"/>
      <c r="O516" s="16"/>
    </row>
    <row r="517" spans="14:15" ht="13.5">
      <c r="N517" s="16"/>
      <c r="O517" s="16"/>
    </row>
    <row r="518" spans="14:15" ht="13.5">
      <c r="N518" s="16"/>
      <c r="O518" s="16"/>
    </row>
    <row r="519" spans="14:15" ht="13.5">
      <c r="N519" s="16"/>
      <c r="O519" s="16"/>
    </row>
    <row r="520" spans="14:15" ht="13.5">
      <c r="N520" s="16"/>
      <c r="O520" s="16"/>
    </row>
    <row r="521" spans="14:15" ht="13.5">
      <c r="N521" s="16"/>
      <c r="O521" s="16"/>
    </row>
    <row r="522" spans="14:15" ht="13.5">
      <c r="N522" s="16"/>
      <c r="O522" s="16"/>
    </row>
    <row r="523" spans="14:15" ht="13.5">
      <c r="N523" s="16"/>
      <c r="O523" s="16"/>
    </row>
    <row r="524" spans="14:15" ht="13.5">
      <c r="N524" s="16"/>
      <c r="O524" s="16"/>
    </row>
    <row r="525" spans="14:15" ht="13.5">
      <c r="N525" s="16"/>
      <c r="O525" s="16"/>
    </row>
    <row r="526" spans="14:15" ht="13.5">
      <c r="N526" s="16"/>
      <c r="O526" s="16"/>
    </row>
    <row r="527" spans="14:15" ht="13.5">
      <c r="N527" s="16"/>
      <c r="O527" s="16"/>
    </row>
    <row r="528" spans="14:15" ht="13.5">
      <c r="N528" s="16"/>
      <c r="O528" s="16"/>
    </row>
    <row r="529" spans="14:15" ht="13.5">
      <c r="N529" s="16"/>
      <c r="O529" s="16"/>
    </row>
    <row r="530" spans="14:15" ht="13.5">
      <c r="N530" s="16"/>
      <c r="O530" s="16"/>
    </row>
    <row r="531" spans="14:15" ht="13.5">
      <c r="N531" s="16"/>
      <c r="O531" s="16"/>
    </row>
    <row r="532" spans="14:15" ht="13.5">
      <c r="N532" s="16"/>
      <c r="O532" s="16"/>
    </row>
    <row r="533" spans="14:15" ht="13.5">
      <c r="N533" s="16"/>
      <c r="O533" s="16"/>
    </row>
    <row r="534" spans="14:15" ht="13.5">
      <c r="N534" s="16"/>
      <c r="O534" s="16"/>
    </row>
    <row r="535" spans="14:15" ht="13.5">
      <c r="N535" s="16"/>
      <c r="O535" s="16"/>
    </row>
    <row r="536" spans="14:15" ht="13.5">
      <c r="N536" s="16"/>
      <c r="O536" s="16"/>
    </row>
    <row r="537" spans="14:15" ht="13.5">
      <c r="N537" s="16"/>
      <c r="O537" s="16"/>
    </row>
    <row r="538" spans="14:15" ht="13.5">
      <c r="N538" s="16"/>
      <c r="O538" s="16"/>
    </row>
    <row r="539" spans="14:15" ht="13.5">
      <c r="N539" s="16"/>
      <c r="O539" s="16"/>
    </row>
    <row r="540" spans="14:15" ht="13.5">
      <c r="N540" s="16"/>
      <c r="O540" s="16"/>
    </row>
    <row r="541" spans="14:15" ht="13.5">
      <c r="N541" s="16"/>
      <c r="O541" s="16"/>
    </row>
    <row r="542" spans="14:15" ht="13.5">
      <c r="N542" s="16"/>
      <c r="O542" s="16"/>
    </row>
    <row r="543" spans="14:15" ht="13.5">
      <c r="N543" s="16"/>
      <c r="O543" s="16"/>
    </row>
    <row r="544" spans="14:15" ht="13.5">
      <c r="N544" s="16"/>
      <c r="O544" s="16"/>
    </row>
    <row r="545" spans="14:15" ht="13.5">
      <c r="N545" s="16"/>
      <c r="O545" s="16"/>
    </row>
    <row r="546" spans="14:15" ht="13.5">
      <c r="N546" s="16"/>
      <c r="O546" s="16"/>
    </row>
    <row r="547" spans="14:15" ht="13.5">
      <c r="N547" s="16"/>
      <c r="O547" s="16"/>
    </row>
    <row r="548" spans="14:15" ht="13.5">
      <c r="N548" s="16"/>
      <c r="O548" s="16"/>
    </row>
    <row r="549" spans="14:15" ht="13.5">
      <c r="N549" s="16"/>
      <c r="O549" s="16"/>
    </row>
    <row r="550" spans="14:15" ht="13.5">
      <c r="N550" s="16"/>
      <c r="O550" s="16"/>
    </row>
    <row r="551" spans="14:15" ht="13.5">
      <c r="N551" s="16"/>
      <c r="O551" s="16"/>
    </row>
    <row r="552" spans="14:15" ht="13.5">
      <c r="N552" s="16"/>
      <c r="O552" s="16"/>
    </row>
    <row r="553" spans="14:15" ht="13.5">
      <c r="N553" s="16"/>
      <c r="O553" s="16"/>
    </row>
    <row r="554" spans="14:15" ht="13.5">
      <c r="N554" s="16"/>
      <c r="O554" s="16"/>
    </row>
    <row r="555" spans="14:15" ht="13.5">
      <c r="N555" s="16"/>
      <c r="O555" s="16"/>
    </row>
    <row r="556" spans="14:15" ht="13.5">
      <c r="N556" s="16"/>
      <c r="O556" s="16"/>
    </row>
    <row r="557" spans="14:15" ht="13.5">
      <c r="N557" s="16"/>
      <c r="O557" s="16"/>
    </row>
    <row r="558" spans="14:15" ht="13.5">
      <c r="N558" s="16"/>
      <c r="O558" s="16"/>
    </row>
    <row r="559" spans="14:15" ht="13.5">
      <c r="N559" s="16"/>
      <c r="O559" s="16"/>
    </row>
    <row r="560" spans="14:15" ht="13.5">
      <c r="N560" s="16"/>
      <c r="O560" s="16"/>
    </row>
    <row r="561" spans="14:15" ht="13.5">
      <c r="N561" s="16"/>
      <c r="O561" s="16"/>
    </row>
    <row r="562" spans="14:15" ht="13.5">
      <c r="N562" s="16"/>
      <c r="O562" s="16"/>
    </row>
    <row r="563" spans="14:15" ht="13.5">
      <c r="N563" s="16"/>
      <c r="O563" s="16"/>
    </row>
    <row r="564" spans="14:15" ht="13.5">
      <c r="N564" s="16"/>
      <c r="O564" s="16"/>
    </row>
    <row r="565" spans="14:15" ht="13.5">
      <c r="N565" s="16"/>
      <c r="O565" s="16"/>
    </row>
    <row r="566" spans="14:15" ht="13.5">
      <c r="N566" s="16"/>
      <c r="O566" s="16"/>
    </row>
    <row r="567" spans="14:15" ht="13.5">
      <c r="N567" s="16"/>
      <c r="O567" s="16"/>
    </row>
    <row r="568" spans="14:15" ht="13.5">
      <c r="N568" s="16"/>
      <c r="O568" s="16"/>
    </row>
    <row r="569" spans="14:15" ht="13.5">
      <c r="N569" s="16"/>
      <c r="O569" s="16"/>
    </row>
    <row r="570" spans="14:15" ht="13.5">
      <c r="N570" s="16"/>
      <c r="O570" s="16"/>
    </row>
    <row r="571" spans="14:15" ht="13.5">
      <c r="N571" s="16"/>
      <c r="O571" s="16"/>
    </row>
    <row r="572" spans="14:15" ht="13.5">
      <c r="N572" s="16"/>
      <c r="O572" s="16"/>
    </row>
    <row r="573" spans="14:15" ht="13.5">
      <c r="N573" s="16"/>
      <c r="O573" s="16"/>
    </row>
    <row r="574" spans="14:15" ht="13.5">
      <c r="N574" s="16"/>
      <c r="O574" s="16"/>
    </row>
    <row r="575" spans="14:15" ht="13.5">
      <c r="N575" s="16"/>
      <c r="O575" s="16"/>
    </row>
    <row r="576" spans="14:15" ht="13.5">
      <c r="N576" s="16"/>
      <c r="O576" s="16"/>
    </row>
    <row r="577" spans="14:15" ht="13.5">
      <c r="N577" s="16"/>
      <c r="O577" s="16"/>
    </row>
    <row r="578" spans="14:15" ht="13.5">
      <c r="N578" s="16"/>
      <c r="O578" s="16"/>
    </row>
    <row r="579" spans="14:15" ht="13.5">
      <c r="N579" s="16"/>
      <c r="O579" s="16"/>
    </row>
    <row r="580" spans="14:15" ht="13.5">
      <c r="N580" s="16"/>
      <c r="O580" s="16"/>
    </row>
    <row r="581" spans="14:15" ht="13.5">
      <c r="N581" s="16"/>
      <c r="O581" s="16"/>
    </row>
    <row r="582" spans="14:15" ht="13.5">
      <c r="N582" s="16"/>
      <c r="O582" s="16"/>
    </row>
    <row r="583" spans="14:15" ht="13.5">
      <c r="N583" s="16"/>
      <c r="O583" s="16"/>
    </row>
    <row r="584" spans="14:15" ht="13.5">
      <c r="N584" s="16"/>
      <c r="O584" s="16"/>
    </row>
    <row r="585" spans="14:15" ht="13.5">
      <c r="N585" s="16"/>
      <c r="O585" s="16"/>
    </row>
    <row r="586" spans="14:15" ht="13.5">
      <c r="N586" s="16"/>
      <c r="O586" s="16"/>
    </row>
    <row r="587" spans="14:15" ht="13.5">
      <c r="N587" s="16"/>
      <c r="O587" s="16"/>
    </row>
    <row r="588" spans="14:15" ht="13.5">
      <c r="N588" s="16"/>
      <c r="O588" s="16"/>
    </row>
    <row r="589" spans="14:15" ht="13.5">
      <c r="N589" s="16"/>
      <c r="O589" s="16"/>
    </row>
    <row r="590" spans="14:15" ht="13.5">
      <c r="N590" s="16"/>
      <c r="O590" s="16"/>
    </row>
    <row r="591" spans="14:15" ht="13.5">
      <c r="N591" s="16"/>
      <c r="O591" s="16"/>
    </row>
    <row r="592" spans="14:15" ht="13.5">
      <c r="N592" s="16"/>
      <c r="O592" s="16"/>
    </row>
    <row r="593" spans="14:15" ht="13.5">
      <c r="N593" s="16"/>
      <c r="O593" s="16"/>
    </row>
    <row r="594" spans="14:15" ht="13.5">
      <c r="N594" s="16"/>
      <c r="O594" s="16"/>
    </row>
    <row r="595" spans="14:15" ht="13.5">
      <c r="N595" s="16"/>
      <c r="O595" s="16"/>
    </row>
    <row r="596" spans="14:15" ht="13.5">
      <c r="N596" s="16"/>
      <c r="O596" s="16"/>
    </row>
    <row r="597" spans="14:15" ht="13.5">
      <c r="N597" s="16"/>
      <c r="O597" s="16"/>
    </row>
    <row r="598" spans="14:15" ht="13.5">
      <c r="N598" s="16"/>
      <c r="O598" s="16"/>
    </row>
    <row r="599" spans="14:15" ht="13.5">
      <c r="N599" s="16"/>
      <c r="O599" s="16"/>
    </row>
    <row r="600" spans="14:15" ht="13.5">
      <c r="N600" s="16"/>
      <c r="O600" s="16"/>
    </row>
    <row r="601" spans="14:15" ht="13.5">
      <c r="N601" s="16"/>
      <c r="O601" s="16"/>
    </row>
    <row r="602" spans="14:15" ht="13.5">
      <c r="N602" s="16"/>
      <c r="O602" s="16"/>
    </row>
    <row r="603" spans="14:15" ht="13.5">
      <c r="N603" s="16"/>
      <c r="O603" s="16"/>
    </row>
    <row r="604" spans="14:15" ht="13.5">
      <c r="N604" s="16"/>
      <c r="O604" s="16"/>
    </row>
    <row r="605" spans="14:15" ht="13.5">
      <c r="N605" s="16"/>
      <c r="O605" s="16"/>
    </row>
    <row r="606" spans="14:15" ht="13.5">
      <c r="N606" s="16"/>
      <c r="O606" s="16"/>
    </row>
    <row r="607" spans="14:15" ht="13.5">
      <c r="N607" s="16"/>
      <c r="O607" s="16"/>
    </row>
    <row r="608" spans="14:15" ht="13.5">
      <c r="N608" s="16"/>
      <c r="O608" s="16"/>
    </row>
    <row r="609" spans="14:15" ht="13.5">
      <c r="N609" s="16"/>
      <c r="O609" s="16"/>
    </row>
    <row r="610" spans="14:15" ht="13.5">
      <c r="N610" s="16"/>
      <c r="O610" s="16"/>
    </row>
    <row r="611" spans="14:15" ht="13.5">
      <c r="N611" s="16"/>
      <c r="O611" s="16"/>
    </row>
    <row r="612" spans="14:15" ht="13.5">
      <c r="N612" s="16"/>
      <c r="O612" s="16"/>
    </row>
    <row r="613" spans="14:15" ht="13.5">
      <c r="N613" s="16"/>
      <c r="O613" s="16"/>
    </row>
    <row r="614" spans="14:15" ht="13.5">
      <c r="N614" s="16"/>
      <c r="O614" s="16"/>
    </row>
    <row r="615" spans="14:15" ht="13.5">
      <c r="N615" s="16"/>
      <c r="O615" s="16"/>
    </row>
    <row r="616" spans="14:15" ht="13.5">
      <c r="N616" s="16"/>
      <c r="O616" s="16"/>
    </row>
    <row r="617" spans="14:15" ht="13.5">
      <c r="N617" s="16"/>
      <c r="O617" s="16"/>
    </row>
    <row r="618" spans="14:15" ht="13.5">
      <c r="N618" s="16"/>
      <c r="O618" s="16"/>
    </row>
    <row r="619" spans="14:15" ht="13.5">
      <c r="N619" s="16"/>
      <c r="O619" s="16"/>
    </row>
    <row r="620" spans="14:15" ht="13.5">
      <c r="N620" s="16"/>
      <c r="O620" s="16"/>
    </row>
    <row r="621" spans="14:15" ht="13.5">
      <c r="N621" s="16"/>
      <c r="O621" s="16"/>
    </row>
    <row r="622" spans="14:15" ht="13.5">
      <c r="N622" s="16"/>
      <c r="O622" s="16"/>
    </row>
    <row r="623" spans="14:15" ht="13.5">
      <c r="N623" s="16"/>
      <c r="O623" s="16"/>
    </row>
    <row r="624" spans="14:15" ht="13.5">
      <c r="N624" s="16"/>
      <c r="O624" s="16"/>
    </row>
    <row r="625" spans="14:15" ht="13.5">
      <c r="N625" s="16"/>
      <c r="O625" s="16"/>
    </row>
    <row r="626" spans="14:15" ht="13.5">
      <c r="N626" s="16"/>
      <c r="O626" s="16"/>
    </row>
    <row r="627" spans="14:15" ht="13.5">
      <c r="N627" s="16"/>
      <c r="O627" s="16"/>
    </row>
    <row r="628" spans="14:15" ht="13.5">
      <c r="N628" s="16"/>
      <c r="O628" s="16"/>
    </row>
    <row r="629" spans="14:15" ht="13.5">
      <c r="N629" s="16"/>
      <c r="O629" s="16"/>
    </row>
    <row r="630" spans="14:15" ht="13.5">
      <c r="N630" s="16"/>
      <c r="O630" s="16"/>
    </row>
    <row r="631" spans="14:15" ht="13.5">
      <c r="N631" s="16"/>
      <c r="O631" s="16"/>
    </row>
    <row r="632" spans="14:15" ht="13.5">
      <c r="N632" s="16"/>
      <c r="O632" s="16"/>
    </row>
    <row r="633" spans="14:15" ht="13.5">
      <c r="N633" s="16"/>
      <c r="O633" s="16"/>
    </row>
    <row r="634" spans="14:15" ht="13.5">
      <c r="N634" s="16"/>
      <c r="O634" s="16"/>
    </row>
    <row r="635" spans="14:15" ht="13.5">
      <c r="N635" s="16"/>
      <c r="O635" s="16"/>
    </row>
    <row r="636" spans="14:15" ht="13.5">
      <c r="N636" s="16"/>
      <c r="O636" s="16"/>
    </row>
    <row r="637" spans="14:15" ht="13.5">
      <c r="N637" s="16"/>
      <c r="O637" s="16"/>
    </row>
    <row r="638" spans="14:15" ht="13.5">
      <c r="N638" s="16"/>
      <c r="O638" s="16"/>
    </row>
    <row r="639" spans="14:15" ht="13.5">
      <c r="N639" s="16"/>
      <c r="O639" s="16"/>
    </row>
    <row r="640" spans="14:15" ht="13.5">
      <c r="N640" s="16"/>
      <c r="O640" s="16"/>
    </row>
    <row r="641" spans="14:15" ht="13.5">
      <c r="N641" s="16"/>
      <c r="O641" s="16"/>
    </row>
    <row r="642" spans="14:15" ht="13.5">
      <c r="N642" s="16"/>
      <c r="O642" s="16"/>
    </row>
    <row r="643" spans="14:15" ht="13.5">
      <c r="N643" s="16"/>
      <c r="O643" s="16"/>
    </row>
    <row r="644" spans="14:15" ht="13.5">
      <c r="N644" s="16"/>
      <c r="O644" s="16"/>
    </row>
    <row r="645" spans="14:15" ht="13.5">
      <c r="N645" s="16"/>
      <c r="O645" s="16"/>
    </row>
    <row r="646" spans="14:15" ht="13.5">
      <c r="N646" s="16"/>
      <c r="O646" s="16"/>
    </row>
    <row r="647" spans="14:15" ht="13.5">
      <c r="N647" s="16"/>
      <c r="O647" s="16"/>
    </row>
    <row r="648" spans="14:15" ht="13.5">
      <c r="N648" s="16"/>
      <c r="O648" s="16"/>
    </row>
    <row r="649" spans="14:15" ht="13.5">
      <c r="N649" s="16"/>
      <c r="O649" s="16"/>
    </row>
    <row r="650" spans="14:15" ht="13.5">
      <c r="N650" s="16"/>
      <c r="O650" s="16"/>
    </row>
    <row r="651" spans="14:15" ht="13.5">
      <c r="N651" s="16"/>
      <c r="O651" s="16"/>
    </row>
    <row r="652" spans="14:15" ht="13.5">
      <c r="N652" s="16"/>
      <c r="O652" s="16"/>
    </row>
    <row r="653" spans="14:15" ht="13.5">
      <c r="N653" s="16"/>
      <c r="O653" s="16"/>
    </row>
    <row r="654" spans="14:15" ht="13.5">
      <c r="N654" s="16"/>
      <c r="O654" s="16"/>
    </row>
    <row r="655" spans="14:15" ht="13.5">
      <c r="N655" s="16"/>
      <c r="O655" s="16"/>
    </row>
    <row r="656" spans="14:15" ht="13.5">
      <c r="N656" s="16"/>
      <c r="O656" s="16"/>
    </row>
    <row r="657" spans="14:15" ht="13.5">
      <c r="N657" s="16"/>
      <c r="O657" s="16"/>
    </row>
    <row r="658" spans="14:15" ht="13.5">
      <c r="N658" s="16"/>
      <c r="O658" s="16"/>
    </row>
    <row r="659" spans="14:15" ht="13.5">
      <c r="N659" s="16"/>
      <c r="O659" s="16"/>
    </row>
    <row r="660" spans="14:15" ht="13.5">
      <c r="N660" s="16"/>
      <c r="O660" s="16"/>
    </row>
    <row r="661" spans="14:15" ht="13.5">
      <c r="N661" s="16"/>
      <c r="O661" s="16"/>
    </row>
    <row r="662" spans="14:15" ht="13.5">
      <c r="N662" s="16"/>
      <c r="O662" s="16"/>
    </row>
    <row r="663" spans="14:15" ht="13.5">
      <c r="N663" s="16"/>
      <c r="O663" s="16"/>
    </row>
    <row r="664" spans="14:15" ht="13.5">
      <c r="N664" s="16"/>
      <c r="O664" s="16"/>
    </row>
    <row r="665" spans="14:15" ht="13.5">
      <c r="N665" s="16"/>
      <c r="O665" s="16"/>
    </row>
    <row r="666" spans="14:15" ht="13.5">
      <c r="N666" s="16"/>
      <c r="O666" s="16"/>
    </row>
    <row r="667" spans="14:15" ht="13.5">
      <c r="N667" s="16"/>
      <c r="O667" s="16"/>
    </row>
    <row r="668" spans="14:15" ht="13.5">
      <c r="N668" s="16"/>
      <c r="O668" s="16"/>
    </row>
    <row r="669" spans="14:15" ht="13.5">
      <c r="N669" s="16"/>
      <c r="O669" s="16"/>
    </row>
    <row r="670" spans="14:15" ht="13.5">
      <c r="N670" s="16"/>
      <c r="O670" s="16"/>
    </row>
    <row r="671" spans="14:15" ht="13.5">
      <c r="N671" s="16"/>
      <c r="O671" s="16"/>
    </row>
    <row r="672" spans="14:15" ht="13.5">
      <c r="N672" s="16"/>
      <c r="O672" s="16"/>
    </row>
    <row r="673" spans="14:15" ht="13.5">
      <c r="N673" s="16"/>
      <c r="O673" s="16"/>
    </row>
    <row r="674" spans="14:15" ht="13.5">
      <c r="N674" s="16"/>
      <c r="O674" s="16"/>
    </row>
    <row r="675" spans="14:15" ht="13.5">
      <c r="N675" s="16"/>
      <c r="O675" s="16"/>
    </row>
    <row r="676" spans="14:15" ht="13.5">
      <c r="N676" s="16"/>
      <c r="O676" s="16"/>
    </row>
    <row r="677" spans="14:15" ht="13.5">
      <c r="N677" s="16"/>
      <c r="O677" s="16"/>
    </row>
    <row r="678" spans="14:15" ht="13.5">
      <c r="N678" s="16"/>
      <c r="O678" s="16"/>
    </row>
    <row r="679" spans="14:15" ht="13.5">
      <c r="N679" s="16"/>
      <c r="O679" s="16"/>
    </row>
    <row r="680" spans="14:15" ht="13.5">
      <c r="N680" s="16"/>
      <c r="O680" s="16"/>
    </row>
    <row r="681" spans="14:15" ht="13.5">
      <c r="N681" s="16"/>
      <c r="O681" s="16"/>
    </row>
    <row r="682" spans="14:15" ht="13.5">
      <c r="N682" s="16"/>
      <c r="O682" s="16"/>
    </row>
    <row r="683" spans="14:15" ht="13.5">
      <c r="N683" s="16"/>
      <c r="O683" s="16"/>
    </row>
    <row r="684" spans="14:15" ht="13.5">
      <c r="N684" s="16"/>
      <c r="O684" s="16"/>
    </row>
    <row r="685" spans="14:15" ht="13.5">
      <c r="N685" s="16"/>
      <c r="O685" s="16"/>
    </row>
    <row r="686" spans="14:15" ht="13.5">
      <c r="N686" s="16"/>
      <c r="O686" s="16"/>
    </row>
    <row r="687" spans="14:15" ht="13.5">
      <c r="N687" s="16"/>
      <c r="O687" s="16"/>
    </row>
    <row r="688" spans="14:15" ht="13.5">
      <c r="N688" s="16"/>
      <c r="O688" s="16"/>
    </row>
    <row r="689" spans="14:15" ht="13.5">
      <c r="N689" s="16"/>
      <c r="O689" s="16"/>
    </row>
    <row r="690" spans="14:15" ht="13.5">
      <c r="N690" s="16"/>
      <c r="O690" s="16"/>
    </row>
    <row r="691" spans="14:15" ht="13.5">
      <c r="N691" s="16"/>
      <c r="O691" s="16"/>
    </row>
    <row r="692" spans="14:15" ht="13.5">
      <c r="N692" s="16"/>
      <c r="O692" s="16"/>
    </row>
    <row r="693" spans="14:15" ht="13.5">
      <c r="N693" s="16"/>
      <c r="O693" s="16"/>
    </row>
    <row r="694" spans="14:15" ht="13.5">
      <c r="N694" s="16"/>
      <c r="O694" s="16"/>
    </row>
    <row r="695" spans="14:15" ht="13.5">
      <c r="N695" s="16"/>
      <c r="O695" s="16"/>
    </row>
    <row r="696" spans="14:15" ht="13.5">
      <c r="N696" s="16"/>
      <c r="O696" s="16"/>
    </row>
    <row r="697" spans="14:15" ht="13.5">
      <c r="N697" s="16"/>
      <c r="O697" s="16"/>
    </row>
    <row r="698" spans="14:15" ht="13.5">
      <c r="N698" s="16"/>
      <c r="O698" s="16"/>
    </row>
    <row r="699" spans="14:15" ht="13.5">
      <c r="N699" s="16"/>
      <c r="O699" s="16"/>
    </row>
    <row r="700" spans="14:15" ht="13.5">
      <c r="N700" s="16"/>
      <c r="O700" s="16"/>
    </row>
    <row r="701" spans="14:15" ht="13.5">
      <c r="N701" s="16"/>
      <c r="O701" s="16"/>
    </row>
    <row r="702" spans="14:15" ht="13.5">
      <c r="N702" s="16"/>
      <c r="O702" s="16"/>
    </row>
    <row r="703" spans="14:15" ht="13.5">
      <c r="N703" s="16"/>
      <c r="O703" s="16"/>
    </row>
    <row r="704" spans="14:15" ht="13.5">
      <c r="N704" s="16"/>
      <c r="O704" s="16"/>
    </row>
    <row r="705" spans="14:15" ht="13.5">
      <c r="N705" s="16"/>
      <c r="O705" s="16"/>
    </row>
    <row r="706" spans="14:15" ht="13.5">
      <c r="N706" s="16"/>
      <c r="O706" s="16"/>
    </row>
    <row r="707" spans="14:15" ht="13.5">
      <c r="N707" s="16"/>
      <c r="O707" s="16"/>
    </row>
    <row r="708" spans="14:15" ht="13.5">
      <c r="N708" s="16"/>
      <c r="O708" s="16"/>
    </row>
    <row r="709" spans="14:15" ht="13.5">
      <c r="N709" s="16"/>
      <c r="O709" s="16"/>
    </row>
    <row r="710" spans="14:15" ht="13.5">
      <c r="N710" s="16"/>
      <c r="O710" s="16"/>
    </row>
    <row r="711" spans="14:15" ht="13.5">
      <c r="N711" s="16"/>
      <c r="O711" s="16"/>
    </row>
    <row r="712" spans="14:15" ht="13.5">
      <c r="N712" s="16"/>
      <c r="O712" s="16"/>
    </row>
    <row r="713" spans="14:15" ht="13.5">
      <c r="N713" s="16"/>
      <c r="O713" s="16"/>
    </row>
    <row r="714" spans="14:15" ht="13.5">
      <c r="N714" s="16"/>
      <c r="O714" s="16"/>
    </row>
    <row r="715" spans="14:15" ht="13.5">
      <c r="N715" s="16"/>
      <c r="O715" s="16"/>
    </row>
    <row r="716" spans="14:15" ht="13.5">
      <c r="N716" s="16"/>
      <c r="O716" s="16"/>
    </row>
    <row r="717" spans="14:15" ht="13.5">
      <c r="N717" s="16"/>
      <c r="O717" s="16"/>
    </row>
    <row r="718" spans="14:15" ht="13.5">
      <c r="N718" s="16"/>
      <c r="O718" s="16"/>
    </row>
    <row r="719" spans="14:15" ht="13.5">
      <c r="N719" s="16"/>
      <c r="O719" s="16"/>
    </row>
    <row r="720" spans="14:15" ht="13.5">
      <c r="N720" s="16"/>
      <c r="O720" s="16"/>
    </row>
    <row r="721" spans="14:15" ht="13.5">
      <c r="N721" s="16"/>
      <c r="O721" s="16"/>
    </row>
    <row r="722" spans="14:15" ht="13.5">
      <c r="N722" s="16"/>
      <c r="O722" s="16"/>
    </row>
    <row r="723" spans="14:15" ht="13.5">
      <c r="N723" s="16"/>
      <c r="O723" s="16"/>
    </row>
    <row r="724" spans="14:15" ht="13.5">
      <c r="N724" s="16"/>
      <c r="O724" s="16"/>
    </row>
    <row r="725" spans="14:15" ht="13.5">
      <c r="N725" s="16"/>
      <c r="O725" s="16"/>
    </row>
    <row r="726" spans="14:15" ht="13.5">
      <c r="N726" s="16"/>
      <c r="O726" s="16"/>
    </row>
    <row r="727" spans="14:15" ht="13.5">
      <c r="N727" s="16"/>
      <c r="O727" s="16"/>
    </row>
    <row r="728" spans="14:15" ht="13.5">
      <c r="N728" s="16"/>
      <c r="O728" s="16"/>
    </row>
    <row r="729" spans="14:15" ht="13.5">
      <c r="N729" s="16"/>
      <c r="O729" s="16"/>
    </row>
    <row r="730" spans="14:15" ht="13.5">
      <c r="N730" s="16"/>
      <c r="O730" s="16"/>
    </row>
    <row r="731" spans="14:15" ht="13.5">
      <c r="N731" s="16"/>
      <c r="O731" s="16"/>
    </row>
    <row r="732" spans="14:15" ht="13.5">
      <c r="N732" s="16"/>
      <c r="O732" s="16"/>
    </row>
    <row r="733" spans="14:15" ht="13.5">
      <c r="N733" s="16"/>
      <c r="O733" s="16"/>
    </row>
    <row r="734" spans="14:15" ht="13.5">
      <c r="N734" s="16"/>
      <c r="O734" s="16"/>
    </row>
    <row r="735" spans="14:15" ht="13.5">
      <c r="N735" s="16"/>
      <c r="O735" s="16"/>
    </row>
    <row r="736" spans="14:15" ht="13.5">
      <c r="N736" s="16"/>
      <c r="O736" s="16"/>
    </row>
    <row r="737" spans="14:15" ht="13.5">
      <c r="N737" s="16"/>
      <c r="O737" s="16"/>
    </row>
    <row r="738" spans="14:15" ht="13.5">
      <c r="N738" s="16"/>
      <c r="O738" s="16"/>
    </row>
    <row r="739" spans="14:15" ht="13.5">
      <c r="N739" s="16"/>
      <c r="O739" s="16"/>
    </row>
    <row r="740" spans="14:15" ht="13.5">
      <c r="N740" s="16"/>
      <c r="O740" s="16"/>
    </row>
    <row r="741" spans="14:15" ht="13.5">
      <c r="N741" s="16"/>
      <c r="O741" s="16"/>
    </row>
    <row r="742" spans="14:15" ht="13.5">
      <c r="N742" s="16"/>
      <c r="O742" s="16"/>
    </row>
    <row r="743" spans="14:15" ht="13.5">
      <c r="N743" s="16"/>
      <c r="O743" s="16"/>
    </row>
    <row r="744" spans="14:15" ht="13.5">
      <c r="N744" s="16"/>
      <c r="O744" s="16"/>
    </row>
    <row r="745" spans="14:15" ht="13.5">
      <c r="N745" s="16"/>
      <c r="O745" s="16"/>
    </row>
    <row r="746" spans="14:15" ht="13.5">
      <c r="N746" s="16"/>
      <c r="O746" s="16"/>
    </row>
    <row r="747" spans="14:15" ht="13.5">
      <c r="N747" s="16"/>
      <c r="O747" s="16"/>
    </row>
    <row r="748" spans="14:15" ht="13.5">
      <c r="N748" s="16"/>
      <c r="O748" s="16"/>
    </row>
    <row r="749" spans="14:15" ht="13.5">
      <c r="N749" s="16"/>
      <c r="O749" s="16"/>
    </row>
    <row r="750" spans="14:15" ht="13.5">
      <c r="N750" s="16"/>
      <c r="O750" s="16"/>
    </row>
    <row r="751" spans="14:15" ht="13.5">
      <c r="N751" s="16"/>
      <c r="O751" s="16"/>
    </row>
    <row r="752" spans="14:15" ht="13.5">
      <c r="N752" s="16"/>
      <c r="O752" s="16"/>
    </row>
    <row r="753" spans="14:15" ht="13.5">
      <c r="N753" s="16"/>
      <c r="O753" s="16"/>
    </row>
    <row r="754" spans="14:15" ht="13.5">
      <c r="N754" s="16"/>
      <c r="O754" s="16"/>
    </row>
    <row r="755" spans="14:15" ht="13.5">
      <c r="N755" s="16"/>
      <c r="O755" s="16"/>
    </row>
    <row r="756" spans="14:15" ht="13.5">
      <c r="N756" s="16"/>
      <c r="O756" s="16"/>
    </row>
    <row r="757" spans="14:15" ht="13.5">
      <c r="N757" s="16"/>
      <c r="O757" s="16"/>
    </row>
    <row r="758" spans="14:15" ht="13.5">
      <c r="N758" s="16"/>
      <c r="O758" s="16"/>
    </row>
    <row r="759" spans="14:15" ht="13.5">
      <c r="N759" s="16"/>
      <c r="O759" s="16"/>
    </row>
    <row r="760" spans="14:15" ht="13.5">
      <c r="N760" s="16"/>
      <c r="O760" s="16"/>
    </row>
    <row r="761" spans="14:15" ht="13.5">
      <c r="N761" s="16"/>
      <c r="O761" s="16"/>
    </row>
    <row r="762" spans="14:15" ht="13.5">
      <c r="N762" s="16"/>
      <c r="O762" s="16"/>
    </row>
    <row r="763" spans="14:15" ht="13.5">
      <c r="N763" s="16"/>
      <c r="O763" s="16"/>
    </row>
    <row r="764" spans="14:15" ht="13.5">
      <c r="N764" s="16"/>
      <c r="O764" s="16"/>
    </row>
    <row r="765" spans="14:15" ht="13.5">
      <c r="N765" s="16"/>
      <c r="O765" s="16"/>
    </row>
    <row r="766" spans="14:15" ht="13.5">
      <c r="N766" s="16"/>
      <c r="O766" s="16"/>
    </row>
    <row r="767" spans="14:15" ht="13.5">
      <c r="N767" s="16"/>
      <c r="O767" s="16"/>
    </row>
    <row r="768" spans="14:15" ht="13.5">
      <c r="N768" s="16"/>
      <c r="O768" s="16"/>
    </row>
    <row r="769" spans="14:15" ht="13.5">
      <c r="N769" s="16"/>
      <c r="O769" s="16"/>
    </row>
    <row r="770" spans="14:15" ht="13.5">
      <c r="N770" s="16"/>
      <c r="O770" s="16"/>
    </row>
    <row r="771" spans="14:15" ht="13.5">
      <c r="N771" s="16"/>
      <c r="O771" s="16"/>
    </row>
    <row r="772" spans="14:15" ht="13.5">
      <c r="N772" s="16"/>
      <c r="O772" s="16"/>
    </row>
    <row r="773" spans="14:15" ht="13.5">
      <c r="N773" s="16"/>
      <c r="O773" s="16"/>
    </row>
    <row r="774" spans="14:15" ht="13.5">
      <c r="N774" s="16"/>
      <c r="O774" s="16"/>
    </row>
    <row r="775" spans="14:15" ht="13.5">
      <c r="N775" s="16"/>
      <c r="O775" s="16"/>
    </row>
    <row r="776" spans="14:15" ht="13.5">
      <c r="N776" s="16"/>
      <c r="O776" s="16"/>
    </row>
    <row r="777" spans="14:15" ht="13.5">
      <c r="N777" s="16"/>
      <c r="O777" s="16"/>
    </row>
    <row r="778" spans="14:15" ht="13.5">
      <c r="N778" s="16"/>
      <c r="O778" s="16"/>
    </row>
    <row r="779" spans="14:15" ht="13.5">
      <c r="N779" s="16"/>
      <c r="O779" s="16"/>
    </row>
    <row r="780" spans="14:15" ht="13.5">
      <c r="N780" s="16"/>
      <c r="O780" s="16"/>
    </row>
    <row r="781" spans="14:15" ht="13.5">
      <c r="N781" s="16"/>
      <c r="O781" s="16"/>
    </row>
    <row r="782" spans="14:15" ht="13.5">
      <c r="N782" s="16"/>
      <c r="O782" s="16"/>
    </row>
    <row r="783" spans="14:15" ht="13.5">
      <c r="N783" s="16"/>
      <c r="O783" s="16"/>
    </row>
    <row r="784" spans="14:15" ht="13.5">
      <c r="N784" s="16"/>
      <c r="O784" s="16"/>
    </row>
    <row r="785" spans="14:15" ht="13.5">
      <c r="N785" s="16"/>
      <c r="O785" s="16"/>
    </row>
    <row r="786" spans="14:15" ht="13.5">
      <c r="N786" s="16"/>
      <c r="O786" s="16"/>
    </row>
    <row r="787" spans="14:15" ht="13.5">
      <c r="N787" s="16"/>
      <c r="O787" s="16"/>
    </row>
    <row r="788" spans="14:15" ht="13.5">
      <c r="N788" s="16"/>
      <c r="O788" s="16"/>
    </row>
    <row r="789" spans="14:15" ht="13.5">
      <c r="N789" s="16"/>
      <c r="O789" s="16"/>
    </row>
    <row r="790" spans="14:15" ht="13.5">
      <c r="N790" s="16"/>
      <c r="O790" s="16"/>
    </row>
    <row r="791" spans="14:15" ht="13.5">
      <c r="N791" s="16"/>
      <c r="O791" s="16"/>
    </row>
    <row r="792" spans="14:15" ht="13.5">
      <c r="N792" s="16"/>
      <c r="O792" s="16"/>
    </row>
    <row r="793" spans="14:15" ht="13.5">
      <c r="N793" s="16"/>
      <c r="O793" s="16"/>
    </row>
    <row r="794" spans="14:15" ht="13.5">
      <c r="N794" s="16"/>
      <c r="O794" s="16"/>
    </row>
    <row r="795" spans="14:15" ht="13.5">
      <c r="N795" s="16"/>
      <c r="O795" s="16"/>
    </row>
    <row r="796" spans="14:15" ht="13.5">
      <c r="N796" s="16"/>
      <c r="O796" s="16"/>
    </row>
    <row r="797" spans="14:15" ht="13.5">
      <c r="N797" s="16"/>
      <c r="O797" s="16"/>
    </row>
    <row r="798" spans="14:15" ht="13.5">
      <c r="N798" s="16"/>
      <c r="O798" s="16"/>
    </row>
    <row r="799" spans="14:15" ht="13.5">
      <c r="N799" s="16"/>
      <c r="O799" s="16"/>
    </row>
    <row r="800" spans="14:15" ht="13.5">
      <c r="N800" s="16"/>
      <c r="O800" s="16"/>
    </row>
    <row r="801" spans="14:15" ht="13.5">
      <c r="N801" s="16"/>
      <c r="O801" s="16"/>
    </row>
    <row r="802" spans="14:15" ht="13.5">
      <c r="N802" s="16"/>
      <c r="O802" s="16"/>
    </row>
    <row r="803" spans="14:15" ht="13.5">
      <c r="N803" s="16"/>
      <c r="O803" s="16"/>
    </row>
    <row r="804" spans="14:15" ht="13.5">
      <c r="N804" s="16"/>
      <c r="O804" s="16"/>
    </row>
    <row r="805" spans="14:15" ht="13.5">
      <c r="N805" s="16"/>
      <c r="O805" s="16"/>
    </row>
    <row r="806" spans="14:15" ht="13.5">
      <c r="N806" s="16"/>
      <c r="O806" s="16"/>
    </row>
    <row r="807" spans="14:15" ht="13.5">
      <c r="N807" s="16"/>
      <c r="O807" s="16"/>
    </row>
    <row r="808" spans="14:15" ht="13.5">
      <c r="N808" s="16"/>
      <c r="O808" s="16"/>
    </row>
    <row r="809" spans="14:15" ht="13.5">
      <c r="N809" s="16"/>
      <c r="O809" s="16"/>
    </row>
    <row r="810" spans="14:15" ht="13.5">
      <c r="N810" s="16"/>
      <c r="O810" s="16"/>
    </row>
    <row r="811" spans="14:15" ht="13.5">
      <c r="N811" s="16"/>
      <c r="O811" s="16"/>
    </row>
    <row r="812" spans="14:15" ht="13.5">
      <c r="N812" s="16"/>
      <c r="O812" s="16"/>
    </row>
    <row r="813" spans="14:15" ht="13.5">
      <c r="N813" s="16"/>
      <c r="O813" s="16"/>
    </row>
    <row r="814" spans="14:15" ht="13.5">
      <c r="N814" s="16"/>
      <c r="O814" s="16"/>
    </row>
    <row r="815" spans="14:15" ht="13.5">
      <c r="N815" s="16"/>
      <c r="O815" s="16"/>
    </row>
    <row r="816" spans="14:15" ht="13.5">
      <c r="N816" s="16"/>
      <c r="O816" s="16"/>
    </row>
    <row r="817" spans="14:15" ht="13.5">
      <c r="N817" s="16"/>
      <c r="O817" s="16"/>
    </row>
    <row r="818" spans="14:15" ht="13.5">
      <c r="N818" s="16"/>
      <c r="O818" s="16"/>
    </row>
    <row r="819" spans="14:15" ht="13.5">
      <c r="N819" s="16"/>
      <c r="O819" s="16"/>
    </row>
    <row r="820" spans="14:15" ht="13.5">
      <c r="N820" s="16"/>
      <c r="O820" s="16"/>
    </row>
    <row r="821" spans="14:15" ht="13.5">
      <c r="N821" s="16"/>
      <c r="O821" s="16"/>
    </row>
    <row r="822" spans="14:15" ht="13.5">
      <c r="N822" s="16"/>
      <c r="O822" s="16"/>
    </row>
    <row r="823" spans="14:15" ht="13.5">
      <c r="N823" s="16"/>
      <c r="O823" s="16"/>
    </row>
    <row r="824" spans="14:15" ht="13.5">
      <c r="N824" s="16"/>
      <c r="O824" s="16"/>
    </row>
    <row r="825" spans="14:15" ht="13.5">
      <c r="N825" s="16"/>
      <c r="O825" s="16"/>
    </row>
    <row r="826" spans="14:15" ht="13.5">
      <c r="N826" s="16"/>
      <c r="O826" s="16"/>
    </row>
    <row r="827" spans="14:15" ht="13.5">
      <c r="N827" s="16"/>
      <c r="O827" s="16"/>
    </row>
    <row r="828" spans="14:15" ht="13.5">
      <c r="N828" s="16"/>
      <c r="O828" s="16"/>
    </row>
    <row r="829" spans="14:15" ht="13.5">
      <c r="N829" s="16"/>
      <c r="O829" s="16"/>
    </row>
    <row r="830" spans="14:15" ht="13.5">
      <c r="N830" s="16"/>
      <c r="O830" s="16"/>
    </row>
    <row r="831" spans="14:15" ht="13.5">
      <c r="N831" s="16"/>
      <c r="O831" s="16"/>
    </row>
    <row r="832" spans="14:15" ht="13.5">
      <c r="N832" s="16"/>
      <c r="O832" s="16"/>
    </row>
    <row r="833" spans="14:15" ht="13.5">
      <c r="N833" s="16"/>
      <c r="O833" s="16"/>
    </row>
    <row r="834" spans="14:15" ht="13.5">
      <c r="N834" s="16"/>
      <c r="O834" s="16"/>
    </row>
    <row r="835" spans="14:15" ht="13.5">
      <c r="N835" s="16"/>
      <c r="O835" s="16"/>
    </row>
    <row r="836" spans="14:15" ht="13.5">
      <c r="N836" s="16"/>
      <c r="O836" s="16"/>
    </row>
    <row r="837" spans="14:15" ht="13.5">
      <c r="N837" s="16"/>
      <c r="O837" s="16"/>
    </row>
    <row r="838" spans="14:15" ht="13.5">
      <c r="N838" s="16"/>
      <c r="O838" s="16"/>
    </row>
    <row r="839" spans="14:15" ht="13.5">
      <c r="N839" s="16"/>
      <c r="O839" s="16"/>
    </row>
    <row r="840" spans="14:15" ht="13.5">
      <c r="N840" s="16"/>
      <c r="O840" s="16"/>
    </row>
    <row r="841" spans="14:15" ht="13.5">
      <c r="N841" s="16"/>
      <c r="O841" s="16"/>
    </row>
    <row r="842" spans="14:15" ht="13.5">
      <c r="N842" s="16"/>
      <c r="O842" s="16"/>
    </row>
    <row r="843" spans="14:15" ht="13.5">
      <c r="N843" s="16"/>
      <c r="O843" s="16"/>
    </row>
    <row r="844" spans="14:15" ht="13.5">
      <c r="N844" s="16"/>
      <c r="O844" s="16"/>
    </row>
    <row r="845" spans="14:15" ht="13.5">
      <c r="N845" s="16"/>
      <c r="O845" s="16"/>
    </row>
    <row r="846" spans="14:15" ht="13.5">
      <c r="N846" s="16"/>
      <c r="O846" s="16"/>
    </row>
    <row r="847" spans="14:15" ht="13.5">
      <c r="N847" s="16"/>
      <c r="O847" s="16"/>
    </row>
    <row r="848" spans="14:15" ht="13.5">
      <c r="N848" s="16"/>
      <c r="O848" s="16"/>
    </row>
    <row r="849" spans="14:15" ht="13.5">
      <c r="N849" s="16"/>
      <c r="O849" s="16"/>
    </row>
    <row r="850" spans="14:15" ht="13.5">
      <c r="N850" s="16"/>
      <c r="O850" s="16"/>
    </row>
    <row r="851" spans="14:15" ht="13.5">
      <c r="N851" s="16"/>
      <c r="O851" s="16"/>
    </row>
    <row r="852" spans="14:15" ht="13.5">
      <c r="N852" s="16"/>
      <c r="O852" s="16"/>
    </row>
    <row r="853" spans="14:15" ht="13.5">
      <c r="N853" s="16"/>
      <c r="O853" s="16"/>
    </row>
    <row r="854" spans="14:15" ht="13.5">
      <c r="N854" s="16"/>
      <c r="O854" s="16"/>
    </row>
    <row r="855" spans="14:15" ht="13.5">
      <c r="N855" s="16"/>
      <c r="O855" s="16"/>
    </row>
    <row r="856" spans="14:15" ht="13.5">
      <c r="N856" s="16"/>
      <c r="O856" s="16"/>
    </row>
    <row r="857" spans="14:15" ht="13.5">
      <c r="N857" s="16"/>
      <c r="O857" s="16"/>
    </row>
    <row r="858" spans="14:15" ht="13.5">
      <c r="N858" s="16"/>
      <c r="O858" s="16"/>
    </row>
    <row r="859" spans="14:15" ht="13.5">
      <c r="N859" s="16"/>
      <c r="O859" s="16"/>
    </row>
    <row r="860" spans="14:15" ht="13.5">
      <c r="N860" s="16"/>
      <c r="O860" s="16"/>
    </row>
    <row r="861" spans="14:15" ht="13.5">
      <c r="N861" s="16"/>
      <c r="O861" s="16"/>
    </row>
    <row r="862" spans="14:15" ht="13.5">
      <c r="N862" s="16"/>
      <c r="O862" s="16"/>
    </row>
    <row r="863" spans="14:15" ht="13.5">
      <c r="N863" s="16"/>
      <c r="O863" s="16"/>
    </row>
    <row r="864" spans="14:15" ht="13.5">
      <c r="N864" s="16"/>
      <c r="O864" s="16"/>
    </row>
    <row r="865" spans="14:15" ht="13.5">
      <c r="N865" s="16"/>
      <c r="O865" s="16"/>
    </row>
    <row r="866" spans="14:15" ht="13.5">
      <c r="N866" s="16"/>
      <c r="O866" s="16"/>
    </row>
    <row r="867" spans="14:15" ht="13.5">
      <c r="N867" s="16"/>
      <c r="O867" s="16"/>
    </row>
    <row r="868" spans="14:15" ht="13.5">
      <c r="N868" s="16"/>
      <c r="O868" s="16"/>
    </row>
    <row r="869" spans="14:15" ht="13.5">
      <c r="N869" s="16"/>
      <c r="O869" s="16"/>
    </row>
    <row r="870" spans="14:15" ht="13.5">
      <c r="N870" s="16"/>
      <c r="O870" s="16"/>
    </row>
    <row r="871" spans="14:15" ht="13.5">
      <c r="N871" s="16"/>
      <c r="O871" s="16"/>
    </row>
    <row r="872" spans="14:15" ht="13.5">
      <c r="N872" s="16"/>
      <c r="O872" s="16"/>
    </row>
    <row r="873" spans="14:15" ht="13.5">
      <c r="N873" s="16"/>
      <c r="O873" s="16"/>
    </row>
    <row r="874" spans="14:15" ht="13.5">
      <c r="N874" s="16"/>
      <c r="O874" s="16"/>
    </row>
    <row r="875" spans="14:15" ht="13.5">
      <c r="N875" s="16"/>
      <c r="O875" s="16"/>
    </row>
    <row r="876" spans="14:15" ht="13.5">
      <c r="N876" s="16"/>
      <c r="O876" s="16"/>
    </row>
    <row r="877" spans="14:15" ht="13.5">
      <c r="N877" s="16"/>
      <c r="O877" s="16"/>
    </row>
    <row r="878" spans="14:15" ht="13.5">
      <c r="N878" s="16"/>
      <c r="O878" s="16"/>
    </row>
    <row r="879" spans="14:15" ht="13.5">
      <c r="N879" s="16"/>
      <c r="O879" s="16"/>
    </row>
    <row r="880" spans="14:15" ht="13.5">
      <c r="N880" s="16"/>
      <c r="O880" s="16"/>
    </row>
    <row r="881" spans="14:15" ht="13.5">
      <c r="N881" s="16"/>
      <c r="O881" s="16"/>
    </row>
    <row r="882" spans="14:15" ht="13.5">
      <c r="N882" s="16"/>
      <c r="O882" s="16"/>
    </row>
    <row r="883" spans="14:15" ht="13.5">
      <c r="N883" s="16"/>
      <c r="O883" s="16"/>
    </row>
    <row r="884" spans="14:15" ht="13.5">
      <c r="N884" s="16"/>
      <c r="O884" s="16"/>
    </row>
    <row r="885" spans="14:15" ht="13.5">
      <c r="N885" s="16"/>
      <c r="O885" s="16"/>
    </row>
    <row r="886" spans="14:15" ht="13.5">
      <c r="N886" s="16"/>
      <c r="O886" s="16"/>
    </row>
    <row r="887" spans="14:15" ht="13.5">
      <c r="N887" s="16"/>
      <c r="O887" s="16"/>
    </row>
    <row r="888" spans="14:15" ht="13.5">
      <c r="N888" s="16"/>
      <c r="O888" s="16"/>
    </row>
    <row r="889" spans="14:15" ht="13.5">
      <c r="N889" s="16"/>
      <c r="O889" s="16"/>
    </row>
    <row r="890" spans="14:15" ht="13.5">
      <c r="N890" s="16"/>
      <c r="O890" s="16"/>
    </row>
    <row r="891" spans="14:15" ht="13.5">
      <c r="N891" s="16"/>
      <c r="O891" s="16"/>
    </row>
    <row r="892" spans="14:15" ht="13.5">
      <c r="N892" s="16"/>
      <c r="O892" s="16"/>
    </row>
    <row r="893" spans="14:15" ht="13.5">
      <c r="N893" s="16"/>
      <c r="O893" s="16"/>
    </row>
    <row r="894" spans="14:15" ht="13.5">
      <c r="N894" s="16"/>
      <c r="O894" s="16"/>
    </row>
    <row r="895" spans="14:15" ht="13.5">
      <c r="N895" s="16"/>
      <c r="O895" s="16"/>
    </row>
    <row r="896" spans="14:15" ht="13.5">
      <c r="N896" s="16"/>
      <c r="O896" s="16"/>
    </row>
    <row r="897" spans="14:15" ht="13.5">
      <c r="N897" s="16"/>
      <c r="O897" s="16"/>
    </row>
    <row r="898" spans="14:15" ht="13.5">
      <c r="N898" s="16"/>
      <c r="O898" s="16"/>
    </row>
    <row r="899" spans="14:15" ht="13.5">
      <c r="N899" s="16"/>
      <c r="O899" s="16"/>
    </row>
    <row r="900" spans="14:15" ht="13.5">
      <c r="N900" s="16"/>
      <c r="O900" s="16"/>
    </row>
    <row r="901" spans="14:15" ht="13.5">
      <c r="N901" s="16"/>
      <c r="O901" s="16"/>
    </row>
  </sheetData>
  <sheetProtection/>
  <mergeCells count="90">
    <mergeCell ref="B144:I144"/>
    <mergeCell ref="A67:I67"/>
    <mergeCell ref="B50:J50"/>
    <mergeCell ref="I79:I81"/>
    <mergeCell ref="J79:J81"/>
    <mergeCell ref="K79:K81"/>
    <mergeCell ref="A71:K71"/>
    <mergeCell ref="B75:K75"/>
    <mergeCell ref="A77:K77"/>
    <mergeCell ref="A54:K54"/>
    <mergeCell ref="N140:P140"/>
    <mergeCell ref="Q140:S140"/>
    <mergeCell ref="T140:V140"/>
    <mergeCell ref="A137:V137"/>
    <mergeCell ref="K138:K141"/>
    <mergeCell ref="L138:V139"/>
    <mergeCell ref="A135:I135"/>
    <mergeCell ref="A104:I104"/>
    <mergeCell ref="A58:K58"/>
    <mergeCell ref="B159:J159"/>
    <mergeCell ref="N142:P142"/>
    <mergeCell ref="Q142:S142"/>
    <mergeCell ref="T142:V142"/>
    <mergeCell ref="A143:K143"/>
    <mergeCell ref="G139:G141"/>
    <mergeCell ref="H139:H141"/>
    <mergeCell ref="L140:L141"/>
    <mergeCell ref="M140:M141"/>
    <mergeCell ref="J138:J141"/>
    <mergeCell ref="A138:A141"/>
    <mergeCell ref="B138:B141"/>
    <mergeCell ref="C138:C141"/>
    <mergeCell ref="D138:D141"/>
    <mergeCell ref="E138:H138"/>
    <mergeCell ref="I138:I141"/>
    <mergeCell ref="E139:E141"/>
    <mergeCell ref="F139:F141"/>
    <mergeCell ref="A97:D97"/>
    <mergeCell ref="B101:J101"/>
    <mergeCell ref="A108:K108"/>
    <mergeCell ref="A109:K109"/>
    <mergeCell ref="B111:K111"/>
    <mergeCell ref="B112:H112"/>
    <mergeCell ref="K60:K63"/>
    <mergeCell ref="B65:J65"/>
    <mergeCell ref="B91:I91"/>
    <mergeCell ref="A93:I93"/>
    <mergeCell ref="B95:J95"/>
    <mergeCell ref="B96:D96"/>
    <mergeCell ref="A78:K78"/>
    <mergeCell ref="J39:J40"/>
    <mergeCell ref="K39:K40"/>
    <mergeCell ref="B87:J87"/>
    <mergeCell ref="A89:I89"/>
    <mergeCell ref="B84:K84"/>
    <mergeCell ref="B85:H85"/>
    <mergeCell ref="B88:I88"/>
    <mergeCell ref="A59:K59"/>
    <mergeCell ref="I60:I64"/>
    <mergeCell ref="J60:J63"/>
    <mergeCell ref="I42:I43"/>
    <mergeCell ref="I40:I41"/>
    <mergeCell ref="A8:K8"/>
    <mergeCell ref="F4:F6"/>
    <mergeCell ref="G4:G6"/>
    <mergeCell ref="H4:H6"/>
    <mergeCell ref="B30:I30"/>
    <mergeCell ref="B10:D10"/>
    <mergeCell ref="A11:D11"/>
    <mergeCell ref="B33:H33"/>
    <mergeCell ref="L5:L6"/>
    <mergeCell ref="B9:I9"/>
    <mergeCell ref="E4:E6"/>
    <mergeCell ref="N7:P7"/>
    <mergeCell ref="Q7:S7"/>
    <mergeCell ref="T7:V7"/>
    <mergeCell ref="K3:K6"/>
    <mergeCell ref="L3:V4"/>
    <mergeCell ref="M5:M6"/>
    <mergeCell ref="N5:P5"/>
    <mergeCell ref="A1:V1"/>
    <mergeCell ref="A3:A6"/>
    <mergeCell ref="B3:B6"/>
    <mergeCell ref="C3:C6"/>
    <mergeCell ref="D3:D6"/>
    <mergeCell ref="E3:H3"/>
    <mergeCell ref="I3:I6"/>
    <mergeCell ref="J3:J6"/>
    <mergeCell ref="Q5:S5"/>
    <mergeCell ref="T5:V5"/>
  </mergeCells>
  <printOptions/>
  <pageMargins left="0.7874015748031497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Вадим к 14</cp:lastModifiedBy>
  <cp:lastPrinted>2013-12-25T09:33:56Z</cp:lastPrinted>
  <dcterms:created xsi:type="dcterms:W3CDTF">2002-03-11T10:22:12Z</dcterms:created>
  <dcterms:modified xsi:type="dcterms:W3CDTF">2013-12-27T11:30:03Z</dcterms:modified>
  <cp:category/>
  <cp:version/>
  <cp:contentType/>
  <cp:contentStatus/>
</cp:coreProperties>
</file>